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2018 - 2019 Receipts" sheetId="1" r:id="rId1"/>
    <sheet name="2018 - 2019 Payments" sheetId="2" r:id="rId2"/>
    <sheet name="Precept" sheetId="3" r:id="rId3"/>
    <sheet name="Playground fundraising" sheetId="4" r:id="rId4"/>
  </sheets>
  <definedNames/>
  <calcPr fullCalcOnLoad="1"/>
</workbook>
</file>

<file path=xl/sharedStrings.xml><?xml version="1.0" encoding="utf-8"?>
<sst xmlns="http://schemas.openxmlformats.org/spreadsheetml/2006/main" count="668" uniqueCount="332">
  <si>
    <t>Date</t>
  </si>
  <si>
    <t xml:space="preserve">Cheque </t>
  </si>
  <si>
    <t>Payee</t>
  </si>
  <si>
    <t>Details of payment</t>
  </si>
  <si>
    <t>Payment</t>
  </si>
  <si>
    <t xml:space="preserve">Clerk </t>
  </si>
  <si>
    <t>Office</t>
  </si>
  <si>
    <t>Mileage</t>
  </si>
  <si>
    <t>Stationery</t>
  </si>
  <si>
    <t>Postage</t>
  </si>
  <si>
    <t>Subscriptions</t>
  </si>
  <si>
    <t>Grass</t>
  </si>
  <si>
    <t>VAT</t>
  </si>
  <si>
    <t>Sundry</t>
  </si>
  <si>
    <t>No</t>
  </si>
  <si>
    <t>cleared</t>
  </si>
  <si>
    <t>Amount</t>
  </si>
  <si>
    <t>phone,net</t>
  </si>
  <si>
    <t>&amp;Printing</t>
  </si>
  <si>
    <t>&amp; power</t>
  </si>
  <si>
    <t>others</t>
  </si>
  <si>
    <t>*</t>
  </si>
  <si>
    <t>Peakes</t>
  </si>
  <si>
    <t>TOTAL FOR MONTH</t>
  </si>
  <si>
    <t>DECEMBER</t>
  </si>
  <si>
    <t>FEBRUARY</t>
  </si>
  <si>
    <t>MARCH</t>
  </si>
  <si>
    <t>TOTAL FOR YEAR</t>
  </si>
  <si>
    <t>From whom</t>
  </si>
  <si>
    <t>Details</t>
  </si>
  <si>
    <t xml:space="preserve">Amount </t>
  </si>
  <si>
    <t>Precept</t>
  </si>
  <si>
    <t>Bank</t>
  </si>
  <si>
    <t>Allotments</t>
  </si>
  <si>
    <t>Seven</t>
  </si>
  <si>
    <t>Recycling</t>
  </si>
  <si>
    <t>Donations</t>
  </si>
  <si>
    <t>Other</t>
  </si>
  <si>
    <t>interest</t>
  </si>
  <si>
    <t>walks</t>
  </si>
  <si>
    <t>credit</t>
  </si>
  <si>
    <t>Refund</t>
  </si>
  <si>
    <t>TOTAL FOR APRIL</t>
  </si>
  <si>
    <t>TOTAL FOR MAY</t>
  </si>
  <si>
    <t>TOTAL FOR JUNE</t>
  </si>
  <si>
    <t>TOTAL FOR JULY</t>
  </si>
  <si>
    <t>TOTAL FOR AUGUST</t>
  </si>
  <si>
    <t>TOTAL FOR SEPTEMBER</t>
  </si>
  <si>
    <t>TOTAL FOR OCTOBER</t>
  </si>
  <si>
    <t>TOTAL FOR NOVEMBER</t>
  </si>
  <si>
    <t>TOTAL FOR DECEMBER</t>
  </si>
  <si>
    <t>TOTAL FOR JANUARY</t>
  </si>
  <si>
    <t>TOTAL FOR FEBRUARY</t>
  </si>
  <si>
    <t>TOTAL FOR MARCH</t>
  </si>
  <si>
    <t>YEAR TO DATE</t>
  </si>
  <si>
    <t>total of columns</t>
  </si>
  <si>
    <t>S/O</t>
  </si>
  <si>
    <t>Barclays</t>
  </si>
  <si>
    <t>Bins</t>
  </si>
  <si>
    <t>room hire</t>
  </si>
  <si>
    <t>Ludham PCC</t>
  </si>
  <si>
    <t>NNDC</t>
  </si>
  <si>
    <t>Clerk</t>
  </si>
  <si>
    <t>Salary and expenses</t>
  </si>
  <si>
    <t>Hedges</t>
  </si>
  <si>
    <t xml:space="preserve">Bottle </t>
  </si>
  <si>
    <t>Pension - LPC</t>
  </si>
  <si>
    <t>contribution</t>
  </si>
  <si>
    <t>URM</t>
  </si>
  <si>
    <t>Glass</t>
  </si>
  <si>
    <t>dd</t>
  </si>
  <si>
    <t>NEST</t>
  </si>
  <si>
    <t>s/o</t>
  </si>
  <si>
    <t>Grant</t>
  </si>
  <si>
    <t>AUGUST TOTAL</t>
  </si>
  <si>
    <t>JULY TOTAL</t>
  </si>
  <si>
    <t>JUNE TOTAL</t>
  </si>
  <si>
    <t>MAY TOTAL</t>
  </si>
  <si>
    <t>APRIL TOTAL</t>
  </si>
  <si>
    <t>OCTOBER TOTAL</t>
  </si>
  <si>
    <t>DD</t>
  </si>
  <si>
    <t>Jubilee Fireworks</t>
  </si>
  <si>
    <t>External audit</t>
  </si>
  <si>
    <t>Grass cutting</t>
  </si>
  <si>
    <t>Pension (paid by PC and Clerk)</t>
  </si>
  <si>
    <t>Came and Company</t>
  </si>
  <si>
    <t>Insurance</t>
  </si>
  <si>
    <t>Directory</t>
  </si>
  <si>
    <t>Womack</t>
  </si>
  <si>
    <t>Membership</t>
  </si>
  <si>
    <t>Allotment</t>
  </si>
  <si>
    <t>28.02.18</t>
  </si>
  <si>
    <t>Bank interest</t>
  </si>
  <si>
    <t>Maintenance</t>
  </si>
  <si>
    <t>8.4.18</t>
  </si>
  <si>
    <t>Donation towards grass</t>
  </si>
  <si>
    <t>15.04.18</t>
  </si>
  <si>
    <t>30.04.18</t>
  </si>
  <si>
    <t xml:space="preserve">Salary and expenses </t>
  </si>
  <si>
    <t>Norfolk ALC</t>
  </si>
  <si>
    <t>Ludham Parish Council - Payments for the Year April 2018 to March 2019</t>
  </si>
  <si>
    <t>Precept and Grant</t>
  </si>
  <si>
    <t>15.05.18</t>
  </si>
  <si>
    <t>31.05.18</t>
  </si>
  <si>
    <t>Liam Harmer</t>
  </si>
  <si>
    <t>Oak Tree on Playground</t>
  </si>
  <si>
    <t>30.05.18</t>
  </si>
  <si>
    <t>Bingo (earmarked for playground)</t>
  </si>
  <si>
    <t>22.05.18</t>
  </si>
  <si>
    <t>Textile recycling</t>
  </si>
  <si>
    <t>7.06.18</t>
  </si>
  <si>
    <t>Tim and Jim butcher book sale donation for playground</t>
  </si>
  <si>
    <t>13.06.18</t>
  </si>
  <si>
    <t>HMRC Vat refund</t>
  </si>
  <si>
    <t>15.06.18</t>
  </si>
  <si>
    <t>Ludham Wives donation for playspace</t>
  </si>
  <si>
    <t>4.06.18</t>
  </si>
  <si>
    <t>29.06.18</t>
  </si>
  <si>
    <t>Womack donations (10K to playground, 1821.51 to urban verges)</t>
  </si>
  <si>
    <t>28.06.18</t>
  </si>
  <si>
    <t>Detail</t>
  </si>
  <si>
    <t>15.08.18</t>
  </si>
  <si>
    <t>31.08.18</t>
  </si>
  <si>
    <t>Shelley Moore</t>
  </si>
  <si>
    <t>Defibrillator battery</t>
  </si>
  <si>
    <t>1.06.18</t>
  </si>
  <si>
    <t>31.07.18</t>
  </si>
  <si>
    <t>Churchyard grass cutting</t>
  </si>
  <si>
    <t>30.06.18</t>
  </si>
  <si>
    <t>15.07.18</t>
  </si>
  <si>
    <t>Wicksteed</t>
  </si>
  <si>
    <t>Hilary Play unit</t>
  </si>
  <si>
    <t>3.07.18</t>
  </si>
  <si>
    <t>5.07.18</t>
  </si>
  <si>
    <t>Playground fete</t>
  </si>
  <si>
    <t>1.08.18</t>
  </si>
  <si>
    <t>7 WALKS</t>
  </si>
  <si>
    <t>10.08.18</t>
  </si>
  <si>
    <t>14.08.18</t>
  </si>
  <si>
    <t>15.09.18</t>
  </si>
  <si>
    <t>30.09.18</t>
  </si>
  <si>
    <t>Fireworks for New Year’s Eve</t>
  </si>
  <si>
    <t>PKF Littlejohn LLP</t>
  </si>
  <si>
    <t>27.09.18</t>
  </si>
  <si>
    <t>Throwers donations for playground</t>
  </si>
  <si>
    <t>28.09.18</t>
  </si>
  <si>
    <t>Precept and grant</t>
  </si>
  <si>
    <t>3.09.18</t>
  </si>
  <si>
    <t>interest earned</t>
  </si>
  <si>
    <t>RECEIPTS AND PAYMENTS FOR LUDHAM PLAYGROUND</t>
  </si>
  <si>
    <t>Receipt</t>
  </si>
  <si>
    <t>Balance</t>
  </si>
  <si>
    <t>Bingo</t>
  </si>
  <si>
    <t>Ludham Wives</t>
  </si>
  <si>
    <t>Tim and Jim book sales</t>
  </si>
  <si>
    <t>Womack Staithe Trust</t>
  </si>
  <si>
    <t>Fete</t>
  </si>
  <si>
    <t>Bingo (1)</t>
  </si>
  <si>
    <t>Bingo (2)</t>
  </si>
  <si>
    <t>Blanche Bingo</t>
  </si>
  <si>
    <t>Throwers donations in box</t>
  </si>
  <si>
    <t xml:space="preserve">Ludham W I </t>
  </si>
  <si>
    <t>?.11/18</t>
  </si>
  <si>
    <t>Chinese tea making</t>
  </si>
  <si>
    <t>31.7.18</t>
  </si>
  <si>
    <t>Wicksteed chq 101207</t>
  </si>
  <si>
    <t>VAT reimbursement on chq 207</t>
  </si>
  <si>
    <t>6.11.18</t>
  </si>
  <si>
    <t>Wicksteed to be paid</t>
  </si>
  <si>
    <t>Vat reimbursement on Nov payment</t>
  </si>
  <si>
    <t>Last f/y</t>
  </si>
  <si>
    <t>BSF grant</t>
  </si>
  <si>
    <t>31.10.18</t>
  </si>
  <si>
    <t>Tea Making</t>
  </si>
  <si>
    <t>Playground donation</t>
  </si>
  <si>
    <t>15.10.18</t>
  </si>
  <si>
    <t>-</t>
  </si>
  <si>
    <t>Wicksteed Leisure Ltd</t>
  </si>
  <si>
    <t>Playground swing seat</t>
  </si>
  <si>
    <t>Village Car Scheme</t>
  </si>
  <si>
    <t>Donation</t>
  </si>
  <si>
    <t>To be paid in Dec</t>
  </si>
  <si>
    <t>Final payment for play equipment</t>
  </si>
  <si>
    <t>29.10.18</t>
  </si>
  <si>
    <t>Ludham Village Hall</t>
  </si>
  <si>
    <t>Norfolk Age UK</t>
  </si>
  <si>
    <t>Norfolk CAB</t>
  </si>
  <si>
    <t>East Anglian Air Ambulance</t>
  </si>
  <si>
    <t>Parish News</t>
  </si>
  <si>
    <t>Dog bins</t>
  </si>
  <si>
    <t>CANCELLED</t>
  </si>
  <si>
    <t>November</t>
  </si>
  <si>
    <t>5.09.18</t>
  </si>
  <si>
    <t>Ludham Parish Council - Income &amp; Expenditure.  FIRST DRAFT FOR CONSIDERATION</t>
  </si>
  <si>
    <t>Tax base:</t>
  </si>
  <si>
    <t>2013-2014</t>
  </si>
  <si>
    <t>2014-2015</t>
  </si>
  <si>
    <t>2015-2016</t>
  </si>
  <si>
    <t>2016-2017</t>
  </si>
  <si>
    <t>2018-2019</t>
  </si>
  <si>
    <t>actual</t>
  </si>
  <si>
    <t>budget</t>
  </si>
  <si>
    <t xml:space="preserve">   </t>
  </si>
  <si>
    <t>PRECEPT FIGURE PER BAND D HSHOLD</t>
  </si>
  <si>
    <t>Tax base</t>
  </si>
  <si>
    <t>precept</t>
  </si>
  <si>
    <t>grant from NNDC</t>
  </si>
  <si>
    <t>bank interest</t>
  </si>
  <si>
    <t>sales of 7 walks</t>
  </si>
  <si>
    <t xml:space="preserve">grant - grass/hedge cutting </t>
  </si>
  <si>
    <t>NCC grant for urban verges</t>
  </si>
  <si>
    <t>allotments</t>
  </si>
  <si>
    <t>recycling credit</t>
  </si>
  <si>
    <t>village directory adverts</t>
  </si>
  <si>
    <t>donations</t>
  </si>
  <si>
    <t>vat refunded</t>
  </si>
  <si>
    <t>transfer from reserves</t>
  </si>
  <si>
    <t>total income</t>
  </si>
  <si>
    <t>expenditure</t>
  </si>
  <si>
    <t xml:space="preserve">clerk  </t>
  </si>
  <si>
    <t>office expenses</t>
  </si>
  <si>
    <t>mileage</t>
  </si>
  <si>
    <t>stationery &amp; printing</t>
  </si>
  <si>
    <t>postage</t>
  </si>
  <si>
    <t>room hire &amp; electricity</t>
  </si>
  <si>
    <t>training</t>
  </si>
  <si>
    <t>upkeep &amp; repairs</t>
  </si>
  <si>
    <t>grass/hedge cutting</t>
  </si>
  <si>
    <t>playground</t>
  </si>
  <si>
    <t>insurance</t>
  </si>
  <si>
    <t>inspections</t>
  </si>
  <si>
    <t>audit</t>
  </si>
  <si>
    <t>subscriptions/ donations</t>
  </si>
  <si>
    <t>election reserve</t>
  </si>
  <si>
    <t>new village directory</t>
  </si>
  <si>
    <t>events</t>
  </si>
  <si>
    <t>bank charges</t>
  </si>
  <si>
    <t>village hall grant</t>
  </si>
  <si>
    <t>chairman's allowance</t>
  </si>
  <si>
    <t>7 Walks printing</t>
  </si>
  <si>
    <t>parish news</t>
  </si>
  <si>
    <t>road closure - new year</t>
  </si>
  <si>
    <t>vat reclaimable</t>
  </si>
  <si>
    <t>Bottle bank / URM</t>
  </si>
  <si>
    <t>Misc (computer / manual)</t>
  </si>
  <si>
    <t>total expenditure</t>
  </si>
  <si>
    <t>Transfer to / from reserves</t>
  </si>
  <si>
    <t>£ per household</t>
  </si>
  <si>
    <t>2018.19 end</t>
  </si>
  <si>
    <t>2019.20</t>
  </si>
  <si>
    <t>Donations: £150 WI,LD wives £172,PCC£50</t>
  </si>
  <si>
    <t>per band D</t>
  </si>
  <si>
    <t>household</t>
  </si>
  <si>
    <t>new cllrs?</t>
  </si>
  <si>
    <t>bank interest high because of BSF grant</t>
  </si>
  <si>
    <t xml:space="preserve">not sure why budget was low as NALC is £275 </t>
  </si>
  <si>
    <t>donations are £500</t>
  </si>
  <si>
    <t>should probably budget for defib!!</t>
  </si>
  <si>
    <t>1.11.18</t>
  </si>
  <si>
    <t>15.11.18</t>
  </si>
  <si>
    <t>30.11.18</t>
  </si>
  <si>
    <t>Salary and expenses November</t>
  </si>
  <si>
    <t>Salary and expenses from July</t>
  </si>
  <si>
    <t>Community Heartbeat Trust</t>
  </si>
  <si>
    <t>Defibrillator pads</t>
  </si>
  <si>
    <t>NCC</t>
  </si>
  <si>
    <t>Streetworks Road Closure</t>
  </si>
  <si>
    <t>MJL Flett</t>
  </si>
  <si>
    <t>SLCC</t>
  </si>
  <si>
    <t>Subscription</t>
  </si>
  <si>
    <t>Church Rooms rent</t>
  </si>
  <si>
    <t>Christmas lights £159.54 mileage £14.42 (0.28 VAT)</t>
  </si>
  <si>
    <t>PC committed £3K</t>
  </si>
  <si>
    <t>PC owes Womack</t>
  </si>
  <si>
    <t>Womack request for fireworks</t>
  </si>
  <si>
    <t>Womack request for road closure</t>
  </si>
  <si>
    <t>Womack request for C.Lights</t>
  </si>
  <si>
    <t>Womack request for grass cutting</t>
  </si>
  <si>
    <t>5.11.18</t>
  </si>
  <si>
    <t>Pinning/Hammond</t>
  </si>
  <si>
    <t>29.11.18</t>
  </si>
  <si>
    <t>January</t>
  </si>
  <si>
    <t>6.12.18</t>
  </si>
  <si>
    <t>grass cutting</t>
  </si>
  <si>
    <t>3.12.18</t>
  </si>
  <si>
    <t>Interest</t>
  </si>
  <si>
    <t>18.01.19</t>
  </si>
  <si>
    <t>HMRC</t>
  </si>
  <si>
    <t>VAT refund</t>
  </si>
  <si>
    <t>28.01.19</t>
  </si>
  <si>
    <t>grass, fireworks etc</t>
  </si>
  <si>
    <t>4.01.19</t>
  </si>
  <si>
    <t>Various</t>
  </si>
  <si>
    <t>16.01.19</t>
  </si>
  <si>
    <t>Blaythwayt</t>
  </si>
  <si>
    <t xml:space="preserve">Allotment </t>
  </si>
  <si>
    <t>15.12.18</t>
  </si>
  <si>
    <t>29.12.18</t>
  </si>
  <si>
    <t>15.01.19</t>
  </si>
  <si>
    <t>Pension Jan (paid by PC and Clerk)</t>
  </si>
  <si>
    <t>31.1.19</t>
  </si>
  <si>
    <t>Salary and expenses December</t>
  </si>
  <si>
    <t>Wicksteed Leisure Ltd – Confirmation</t>
  </si>
  <si>
    <t>Marco Polo Tower</t>
  </si>
  <si>
    <t>Salary and expenses from January</t>
  </si>
  <si>
    <t>Tax (paid by Clerk)</t>
  </si>
  <si>
    <t>DL Ritchie</t>
  </si>
  <si>
    <t>Allotment rent</t>
  </si>
  <si>
    <t>Keith Debbage</t>
  </si>
  <si>
    <t>Hedge cutting</t>
  </si>
  <si>
    <t>Insurance with Hiscox</t>
  </si>
  <si>
    <t>9.01.19</t>
  </si>
  <si>
    <t>17.01.19</t>
  </si>
  <si>
    <t>Bank charge</t>
  </si>
  <si>
    <t>15.02.19</t>
  </si>
  <si>
    <t>1.03.19</t>
  </si>
  <si>
    <t>28.02.19</t>
  </si>
  <si>
    <t>Salary and expenses February</t>
  </si>
  <si>
    <t>6.02.19</t>
  </si>
  <si>
    <t>J Beardshaw</t>
  </si>
  <si>
    <t>27.02.19</t>
  </si>
  <si>
    <t>15.03.19</t>
  </si>
  <si>
    <t>1.04.19</t>
  </si>
  <si>
    <t>31.03.19</t>
  </si>
  <si>
    <t>Tax</t>
  </si>
  <si>
    <t>David Gabriel</t>
  </si>
  <si>
    <t>Standing Order for land</t>
  </si>
  <si>
    <t>4.03.19</t>
  </si>
  <si>
    <t>FINAL</t>
  </si>
  <si>
    <t>none</t>
  </si>
  <si>
    <t>anticipated</t>
  </si>
  <si>
    <t>deleted 1178 that we didn't receive from NCC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</si>
</sst>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.000000000000%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.0_-;\-* #,##0.0_-;_-* &quot;-&quot;??_-;_-@_-"/>
    <numFmt numFmtId="180" formatCode="_-* #,##0_-;\-* #,##0_-;_-* &quot;-&quot;??_-;_-@_-"/>
    <numFmt numFmtId="181" formatCode="0.0"/>
    <numFmt numFmtId="182" formatCode="0.0000"/>
    <numFmt numFmtId="183" formatCode="_-* #,##0.000_-;\-* #,##0.000_-;_-* &quot;-&quot;??_-;_-@_-"/>
    <numFmt numFmtId="184" formatCode="&quot;£&quot;#,##0.00"/>
  </numFmts>
  <fonts count="65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name val="Georgia"/>
      <family val="1"/>
    </font>
    <font>
      <sz val="16"/>
      <name val="Georgia"/>
      <family val="1"/>
    </font>
    <font>
      <sz val="16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23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sz val="14"/>
      <color theme="0" tint="-0.4999699890613556"/>
      <name val="Arial"/>
      <family val="2"/>
    </font>
    <font>
      <b/>
      <sz val="7"/>
      <color rgb="FF000000"/>
      <name val="Times New Roman"/>
      <family val="1"/>
    </font>
    <font>
      <b/>
      <u val="single"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0" fillId="0" borderId="0" xfId="0" applyNumberFormat="1" applyFont="1" applyAlignment="1">
      <alignment/>
    </xf>
    <xf numFmtId="2" fontId="6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 horizontal="justify" vertical="center" wrapText="1"/>
    </xf>
    <xf numFmtId="43" fontId="0" fillId="0" borderId="10" xfId="42" applyFont="1" applyBorder="1" applyAlignment="1">
      <alignment horizontal="right" vertical="center" wrapText="1"/>
    </xf>
    <xf numFmtId="43" fontId="61" fillId="0" borderId="10" xfId="42" applyFont="1" applyBorder="1" applyAlignment="1">
      <alignment horizontal="justify" vertical="center" wrapText="1"/>
    </xf>
    <xf numFmtId="43" fontId="61" fillId="0" borderId="10" xfId="42" applyFont="1" applyBorder="1" applyAlignment="1">
      <alignment horizontal="right" vertical="center" wrapText="1"/>
    </xf>
    <xf numFmtId="0" fontId="0" fillId="0" borderId="10" xfId="42" applyNumberFormat="1" applyFont="1" applyBorder="1" applyAlignment="1">
      <alignment/>
    </xf>
    <xf numFmtId="0" fontId="0" fillId="0" borderId="10" xfId="42" applyNumberFormat="1" applyFont="1" applyBorder="1" applyAlignment="1">
      <alignment horizontal="justify" vertical="center" wrapText="1"/>
    </xf>
    <xf numFmtId="0" fontId="61" fillId="0" borderId="10" xfId="42" applyNumberFormat="1" applyFont="1" applyBorder="1" applyAlignment="1">
      <alignment horizontal="justify" vertical="center" wrapText="1"/>
    </xf>
    <xf numFmtId="0" fontId="61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right" vertical="center" wrapText="1"/>
    </xf>
    <xf numFmtId="43" fontId="61" fillId="0" borderId="10" xfId="0" applyNumberFormat="1" applyFont="1" applyBorder="1" applyAlignment="1">
      <alignment horizontal="right" vertical="center" wrapText="1"/>
    </xf>
    <xf numFmtId="43" fontId="0" fillId="0" borderId="10" xfId="42" applyNumberFormat="1" applyFont="1" applyBorder="1" applyAlignment="1">
      <alignment/>
    </xf>
    <xf numFmtId="43" fontId="0" fillId="0" borderId="10" xfId="42" applyNumberFormat="1" applyFont="1" applyBorder="1" applyAlignment="1">
      <alignment horizontal="right" vertical="center" wrapText="1"/>
    </xf>
    <xf numFmtId="43" fontId="61" fillId="0" borderId="10" xfId="42" applyNumberFormat="1" applyFont="1" applyBorder="1" applyAlignment="1">
      <alignment horizontal="right" vertical="center" wrapText="1"/>
    </xf>
    <xf numFmtId="17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2" fontId="0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3" fontId="0" fillId="0" borderId="0" xfId="42" applyNumberFormat="1" applyFont="1" applyAlignment="1">
      <alignment/>
    </xf>
    <xf numFmtId="43" fontId="0" fillId="0" borderId="0" xfId="42" applyNumberFormat="1" applyFont="1" applyBorder="1" applyAlignment="1">
      <alignment/>
    </xf>
    <xf numFmtId="43" fontId="7" fillId="0" borderId="0" xfId="42" applyNumberFormat="1" applyFont="1" applyBorder="1" applyAlignment="1">
      <alignment horizontal="right" vertical="center"/>
    </xf>
    <xf numFmtId="43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0" fontId="5" fillId="0" borderId="0" xfId="0" applyFont="1" applyAlignment="1">
      <alignment/>
    </xf>
    <xf numFmtId="43" fontId="5" fillId="0" borderId="11" xfId="42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33" borderId="10" xfId="42" applyNumberFormat="1" applyFont="1" applyFill="1" applyBorder="1" applyAlignment="1">
      <alignment/>
    </xf>
    <xf numFmtId="4" fontId="1" fillId="0" borderId="10" xfId="42" applyNumberFormat="1" applyFont="1" applyFill="1" applyBorder="1" applyAlignment="1">
      <alignment/>
    </xf>
    <xf numFmtId="4" fontId="1" fillId="33" borderId="0" xfId="42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3" fontId="6" fillId="0" borderId="10" xfId="42" applyFont="1" applyBorder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1" fillId="8" borderId="10" xfId="42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42" applyNumberFormat="1" applyFont="1" applyAlignment="1">
      <alignment/>
    </xf>
    <xf numFmtId="4" fontId="9" fillId="33" borderId="0" xfId="42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9" fillId="8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42" applyNumberFormat="1" applyFont="1" applyAlignment="1">
      <alignment/>
    </xf>
    <xf numFmtId="4" fontId="0" fillId="33" borderId="0" xfId="42" applyNumberFormat="1" applyFont="1" applyFill="1" applyAlignment="1">
      <alignment/>
    </xf>
    <xf numFmtId="4" fontId="0" fillId="8" borderId="0" xfId="0" applyNumberFormat="1" applyFill="1" applyAlignment="1">
      <alignment/>
    </xf>
    <xf numFmtId="4" fontId="8" fillId="0" borderId="10" xfId="0" applyNumberFormat="1" applyFont="1" applyBorder="1" applyAlignment="1">
      <alignment/>
    </xf>
    <xf numFmtId="4" fontId="2" fillId="0" borderId="10" xfId="42" applyNumberFormat="1" applyFont="1" applyBorder="1" applyAlignment="1">
      <alignment/>
    </xf>
    <xf numFmtId="4" fontId="2" fillId="33" borderId="10" xfId="42" applyNumberFormat="1" applyFont="1" applyFill="1" applyBorder="1" applyAlignment="1">
      <alignment/>
    </xf>
    <xf numFmtId="4" fontId="8" fillId="8" borderId="10" xfId="0" applyNumberFormat="1" applyFont="1" applyFill="1" applyBorder="1" applyAlignment="1" quotePrefix="1">
      <alignment/>
    </xf>
    <xf numFmtId="4" fontId="8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0" xfId="42" applyNumberFormat="1" applyFont="1" applyBorder="1" applyAlignment="1">
      <alignment horizontal="center"/>
    </xf>
    <xf numFmtId="4" fontId="2" fillId="33" borderId="10" xfId="42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8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0" fillId="0" borderId="10" xfId="42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2" fillId="8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42" applyNumberFormat="1" applyFont="1" applyFill="1" applyBorder="1" applyAlignment="1">
      <alignment/>
    </xf>
    <xf numFmtId="4" fontId="0" fillId="33" borderId="10" xfId="42" applyNumberFormat="1" applyFont="1" applyFill="1" applyBorder="1" applyAlignment="1">
      <alignment/>
    </xf>
    <xf numFmtId="4" fontId="0" fillId="8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Border="1" applyAlignment="1">
      <alignment/>
    </xf>
    <xf numFmtId="4" fontId="0" fillId="0" borderId="10" xfId="42" applyNumberFormat="1" applyFont="1" applyBorder="1" applyAlignment="1">
      <alignment/>
    </xf>
    <xf numFmtId="4" fontId="0" fillId="8" borderId="10" xfId="0" applyNumberFormat="1" applyFont="1" applyFill="1" applyBorder="1" applyAlignment="1">
      <alignment/>
    </xf>
    <xf numFmtId="4" fontId="0" fillId="0" borderId="10" xfId="42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42" applyNumberFormat="1" applyFont="1" applyBorder="1" applyAlignment="1">
      <alignment/>
    </xf>
    <xf numFmtId="4" fontId="0" fillId="8" borderId="10" xfId="42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8" fillId="0" borderId="0" xfId="42" applyNumberFormat="1" applyFont="1" applyAlignment="1">
      <alignment/>
    </xf>
    <xf numFmtId="4" fontId="0" fillId="0" borderId="0" xfId="42" applyNumberFormat="1" applyFont="1" applyFill="1" applyAlignment="1">
      <alignment/>
    </xf>
    <xf numFmtId="4" fontId="8" fillId="8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" fontId="12" fillId="0" borderId="0" xfId="42" applyNumberFormat="1" applyFont="1" applyAlignment="1">
      <alignment/>
    </xf>
    <xf numFmtId="4" fontId="13" fillId="33" borderId="0" xfId="42" applyNumberFormat="1" applyFont="1" applyFill="1" applyAlignment="1">
      <alignment/>
    </xf>
    <xf numFmtId="4" fontId="13" fillId="0" borderId="0" xfId="42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12" fillId="8" borderId="0" xfId="0" applyNumberFormat="1" applyFont="1" applyFill="1" applyAlignment="1">
      <alignment/>
    </xf>
    <xf numFmtId="0" fontId="7" fillId="0" borderId="10" xfId="0" applyNumberFormat="1" applyFont="1" applyBorder="1" applyAlignment="1">
      <alignment vertical="center"/>
    </xf>
    <xf numFmtId="0" fontId="61" fillId="0" borderId="10" xfId="0" applyNumberFormat="1" applyFont="1" applyBorder="1" applyAlignment="1">
      <alignment horizontal="justify" vertical="center"/>
    </xf>
    <xf numFmtId="0" fontId="61" fillId="0" borderId="10" xfId="0" applyNumberFormat="1" applyFont="1" applyBorder="1" applyAlignment="1">
      <alignment horizontal="right" vertical="center"/>
    </xf>
    <xf numFmtId="0" fontId="0" fillId="0" borderId="10" xfId="42" applyNumberFormat="1" applyFont="1" applyBorder="1" applyAlignment="1">
      <alignment/>
    </xf>
    <xf numFmtId="43" fontId="14" fillId="0" borderId="10" xfId="42" applyFont="1" applyBorder="1" applyAlignment="1">
      <alignment horizontal="center"/>
    </xf>
    <xf numFmtId="0" fontId="14" fillId="0" borderId="10" xfId="42" applyNumberFormat="1" applyFont="1" applyBorder="1" applyAlignment="1">
      <alignment horizontal="left"/>
    </xf>
    <xf numFmtId="43" fontId="0" fillId="0" borderId="10" xfId="42" applyNumberFormat="1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0" xfId="42" applyFont="1" applyBorder="1" applyAlignment="1">
      <alignment horizontal="right"/>
    </xf>
    <xf numFmtId="43" fontId="15" fillId="0" borderId="10" xfId="42" applyFont="1" applyBorder="1" applyAlignment="1">
      <alignment/>
    </xf>
    <xf numFmtId="0" fontId="16" fillId="0" borderId="10" xfId="42" applyNumberFormat="1" applyFont="1" applyBorder="1" applyAlignment="1">
      <alignment horizontal="left"/>
    </xf>
    <xf numFmtId="43" fontId="16" fillId="0" borderId="10" xfId="42" applyFont="1" applyBorder="1" applyAlignment="1">
      <alignment horizontal="center"/>
    </xf>
    <xf numFmtId="43" fontId="16" fillId="0" borderId="10" xfId="42" applyNumberFormat="1" applyFont="1" applyBorder="1" applyAlignment="1">
      <alignment horizontal="center"/>
    </xf>
    <xf numFmtId="43" fontId="16" fillId="0" borderId="10" xfId="42" applyFont="1" applyBorder="1" applyAlignment="1">
      <alignment/>
    </xf>
    <xf numFmtId="43" fontId="16" fillId="0" borderId="10" xfId="42" applyFont="1" applyBorder="1" applyAlignment="1">
      <alignment horizontal="right"/>
    </xf>
    <xf numFmtId="43" fontId="17" fillId="0" borderId="10" xfId="42" applyFont="1" applyBorder="1" applyAlignment="1">
      <alignment horizontal="justify" vertical="center" wrapText="1"/>
    </xf>
    <xf numFmtId="43" fontId="0" fillId="0" borderId="12" xfId="42" applyFont="1" applyBorder="1" applyAlignment="1">
      <alignment/>
    </xf>
    <xf numFmtId="0" fontId="0" fillId="0" borderId="12" xfId="42" applyNumberFormat="1" applyFont="1" applyBorder="1" applyAlignment="1">
      <alignment/>
    </xf>
    <xf numFmtId="43" fontId="0" fillId="0" borderId="12" xfId="42" applyNumberFormat="1" applyFont="1" applyBorder="1" applyAlignment="1">
      <alignment/>
    </xf>
    <xf numFmtId="0" fontId="6" fillId="0" borderId="10" xfId="42" applyNumberFormat="1" applyFont="1" applyBorder="1" applyAlignment="1">
      <alignment/>
    </xf>
    <xf numFmtId="43" fontId="6" fillId="0" borderId="10" xfId="42" applyNumberFormat="1" applyFont="1" applyBorder="1" applyAlignment="1">
      <alignment/>
    </xf>
    <xf numFmtId="43" fontId="62" fillId="0" borderId="10" xfId="42" applyFont="1" applyBorder="1" applyAlignment="1">
      <alignment/>
    </xf>
    <xf numFmtId="43" fontId="5" fillId="0" borderId="10" xfId="42" applyFont="1" applyBorder="1" applyAlignment="1">
      <alignment/>
    </xf>
    <xf numFmtId="0" fontId="5" fillId="0" borderId="10" xfId="42" applyNumberFormat="1" applyFont="1" applyBorder="1" applyAlignment="1">
      <alignment/>
    </xf>
    <xf numFmtId="43" fontId="5" fillId="0" borderId="10" xfId="42" applyNumberFormat="1" applyFont="1" applyBorder="1" applyAlignment="1">
      <alignment/>
    </xf>
    <xf numFmtId="43" fontId="5" fillId="0" borderId="12" xfId="42" applyFont="1" applyBorder="1" applyAlignment="1">
      <alignment/>
    </xf>
    <xf numFmtId="0" fontId="5" fillId="0" borderId="12" xfId="42" applyNumberFormat="1" applyFont="1" applyBorder="1" applyAlignment="1">
      <alignment/>
    </xf>
    <xf numFmtId="43" fontId="5" fillId="0" borderId="12" xfId="42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5" fillId="0" borderId="0" xfId="42" applyNumberFormat="1" applyFont="1" applyBorder="1" applyAlignment="1">
      <alignment/>
    </xf>
    <xf numFmtId="0" fontId="63" fillId="0" borderId="0" xfId="0" applyFont="1" applyAlignment="1">
      <alignment horizontal="justify" vertical="center"/>
    </xf>
    <xf numFmtId="0" fontId="64" fillId="0" borderId="10" xfId="0" applyFont="1" applyBorder="1" applyAlignment="1">
      <alignment horizontal="justify" vertical="center" wrapText="1"/>
    </xf>
    <xf numFmtId="43" fontId="60" fillId="0" borderId="10" xfId="42" applyFont="1" applyBorder="1" applyAlignment="1">
      <alignment/>
    </xf>
    <xf numFmtId="2" fontId="0" fillId="0" borderId="0" xfId="0" applyNumberFormat="1" applyFont="1" applyBorder="1" applyAlignment="1">
      <alignment horizontal="right" vertical="center"/>
    </xf>
    <xf numFmtId="2" fontId="61" fillId="0" borderId="10" xfId="0" applyNumberFormat="1" applyFont="1" applyBorder="1" applyAlignment="1">
      <alignment horizontal="right" vertical="center" wrapText="1"/>
    </xf>
    <xf numFmtId="2" fontId="61" fillId="0" borderId="10" xfId="0" applyNumberFormat="1" applyFont="1" applyBorder="1" applyAlignment="1">
      <alignment horizontal="right" vertical="center"/>
    </xf>
    <xf numFmtId="2" fontId="61" fillId="0" borderId="10" xfId="42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workbookViewId="0" topLeftCell="A1">
      <pane ySplit="1" topLeftCell="A2" activePane="bottomLeft" state="frozen"/>
      <selection pane="topLeft" activeCell="A1" sqref="A1"/>
      <selection pane="bottomLeft" activeCell="D83" sqref="D83"/>
    </sheetView>
  </sheetViews>
  <sheetFormatPr defaultColWidth="9.140625" defaultRowHeight="12.75"/>
  <cols>
    <col min="2" max="2" width="15.57421875" style="0" customWidth="1"/>
    <col min="3" max="3" width="8.140625" style="0" customWidth="1"/>
    <col min="4" max="4" width="20.8515625" style="0" customWidth="1"/>
    <col min="5" max="14" width="9.140625" style="2" customWidth="1"/>
    <col min="15" max="16" width="12.140625" style="2" customWidth="1"/>
    <col min="17" max="17" width="9.140625" style="45" customWidth="1"/>
    <col min="19" max="19" width="38.28125" style="0" customWidth="1"/>
  </cols>
  <sheetData>
    <row r="1" spans="1:17" s="1" customFormat="1" ht="12.75">
      <c r="A1" s="1" t="s">
        <v>0</v>
      </c>
      <c r="B1" s="1" t="s">
        <v>28</v>
      </c>
      <c r="C1" s="1" t="s">
        <v>15</v>
      </c>
      <c r="D1" s="1" t="s">
        <v>29</v>
      </c>
      <c r="E1" s="1" t="s">
        <v>30</v>
      </c>
      <c r="F1" s="1" t="s">
        <v>31</v>
      </c>
      <c r="G1" s="1" t="s">
        <v>73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12</v>
      </c>
      <c r="N1" s="1" t="s">
        <v>87</v>
      </c>
      <c r="O1" s="1" t="s">
        <v>11</v>
      </c>
      <c r="P1" s="1" t="s">
        <v>37</v>
      </c>
      <c r="Q1" s="43"/>
    </row>
    <row r="2" spans="8:17" s="1" customFormat="1" ht="12.75">
      <c r="H2" s="1" t="s">
        <v>38</v>
      </c>
      <c r="J2" s="1" t="s">
        <v>39</v>
      </c>
      <c r="K2" s="1" t="s">
        <v>40</v>
      </c>
      <c r="M2" s="1" t="s">
        <v>41</v>
      </c>
      <c r="Q2" s="43">
        <f>SUM(F2:P2)-E2</f>
        <v>0</v>
      </c>
    </row>
    <row r="3" spans="1:17" s="12" customFormat="1" ht="12.75">
      <c r="A3" s="12" t="s">
        <v>94</v>
      </c>
      <c r="B3" s="12" t="s">
        <v>88</v>
      </c>
      <c r="D3" s="12" t="s">
        <v>95</v>
      </c>
      <c r="E3" s="12">
        <v>2250</v>
      </c>
      <c r="O3" s="12">
        <v>2250</v>
      </c>
      <c r="Q3" s="43">
        <f>SUM(F3:P3)-E3</f>
        <v>0</v>
      </c>
    </row>
    <row r="4" spans="1:17" s="12" customFormat="1" ht="12.75">
      <c r="A4" s="12" t="s">
        <v>97</v>
      </c>
      <c r="B4" s="12" t="s">
        <v>61</v>
      </c>
      <c r="D4" s="12" t="s">
        <v>101</v>
      </c>
      <c r="E4" s="12">
        <v>4873</v>
      </c>
      <c r="F4" s="12">
        <v>4576</v>
      </c>
      <c r="G4" s="12">
        <v>297</v>
      </c>
      <c r="Q4" s="43">
        <f>SUM(F4:P4)-E4</f>
        <v>0</v>
      </c>
    </row>
    <row r="5" s="12" customFormat="1" ht="12.75">
      <c r="Q5" s="43">
        <f>SUM(F5:P5)-E5</f>
        <v>0</v>
      </c>
    </row>
    <row r="6" s="12" customFormat="1" ht="12.75">
      <c r="Q6" s="43">
        <f aca="true" t="shared" si="0" ref="Q6:Q16">SUM(F6:P6)-E6</f>
        <v>0</v>
      </c>
    </row>
    <row r="7" spans="16:17" s="12" customFormat="1" ht="12.75">
      <c r="P7" s="14"/>
      <c r="Q7" s="43">
        <f t="shared" si="0"/>
        <v>0</v>
      </c>
    </row>
    <row r="8" spans="5:17" s="5" customFormat="1" ht="12.75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3">
        <f t="shared" si="0"/>
        <v>0</v>
      </c>
    </row>
    <row r="9" spans="1:17" s="3" customFormat="1" ht="12.75">
      <c r="A9" s="3" t="s">
        <v>42</v>
      </c>
      <c r="E9" s="4">
        <f>SUM(E3:E8)</f>
        <v>7123</v>
      </c>
      <c r="F9" s="4">
        <f>SUM(F4:F8)</f>
        <v>4576</v>
      </c>
      <c r="G9" s="4">
        <f>SUM(G4:G8)</f>
        <v>297</v>
      </c>
      <c r="H9" s="4">
        <f>SUM(H8:H8)</f>
        <v>0</v>
      </c>
      <c r="I9" s="4">
        <f>SUM(I8:I8)</f>
        <v>0</v>
      </c>
      <c r="J9" s="4">
        <f>SUM(J8:J8)</f>
        <v>0</v>
      </c>
      <c r="K9" s="4">
        <f>SUM(K5)</f>
        <v>0</v>
      </c>
      <c r="L9" s="4">
        <f>SUM(L8:L8)</f>
        <v>0</v>
      </c>
      <c r="M9" s="4">
        <f>SUM(M3:M8)</f>
        <v>0</v>
      </c>
      <c r="N9" s="4">
        <f>SUM(N3:N8)</f>
        <v>0</v>
      </c>
      <c r="O9" s="4">
        <f>SUM(O3:O8)</f>
        <v>2250</v>
      </c>
      <c r="P9" s="4">
        <f>SUM(P3:P8)</f>
        <v>0</v>
      </c>
      <c r="Q9" s="43">
        <f t="shared" si="0"/>
        <v>0</v>
      </c>
    </row>
    <row r="10" spans="5:17" s="5" customFormat="1" ht="12.7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3">
        <f t="shared" si="0"/>
        <v>0</v>
      </c>
    </row>
    <row r="11" spans="1:17" s="5" customFormat="1" ht="12.75">
      <c r="A11" s="15"/>
      <c r="B11" s="15"/>
      <c r="C11" s="15"/>
      <c r="D11" s="15"/>
      <c r="E11" s="16"/>
      <c r="F11" s="16"/>
      <c r="G11" s="16"/>
      <c r="H11" s="16"/>
      <c r="I11" s="6"/>
      <c r="J11" s="6"/>
      <c r="K11" s="6"/>
      <c r="L11" s="6"/>
      <c r="M11" s="6"/>
      <c r="N11" s="6"/>
      <c r="O11" s="6"/>
      <c r="P11" s="6"/>
      <c r="Q11" s="43">
        <f t="shared" si="0"/>
        <v>0</v>
      </c>
    </row>
    <row r="12" spans="1:17" s="5" customFormat="1" ht="15">
      <c r="A12" s="37" t="s">
        <v>106</v>
      </c>
      <c r="B12" s="37" t="s">
        <v>107</v>
      </c>
      <c r="C12" s="15"/>
      <c r="D12" s="15"/>
      <c r="E12" s="152">
        <v>100</v>
      </c>
      <c r="F12" s="16"/>
      <c r="G12" s="16"/>
      <c r="H12" s="16"/>
      <c r="I12" s="6"/>
      <c r="J12" s="6"/>
      <c r="L12" s="6">
        <v>100</v>
      </c>
      <c r="M12" s="6"/>
      <c r="N12" s="6"/>
      <c r="O12" s="6"/>
      <c r="P12" s="6"/>
      <c r="Q12" s="43">
        <f t="shared" si="0"/>
        <v>0</v>
      </c>
    </row>
    <row r="14" spans="1:17" s="5" customFormat="1" ht="12.75">
      <c r="A14" s="5" t="s">
        <v>108</v>
      </c>
      <c r="B14" s="5" t="s">
        <v>61</v>
      </c>
      <c r="D14" s="5" t="s">
        <v>109</v>
      </c>
      <c r="E14" s="6">
        <v>32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v>32</v>
      </c>
      <c r="Q14" s="43">
        <f>SUM(F14:P14)-E14</f>
        <v>0</v>
      </c>
    </row>
    <row r="15" spans="1:17" s="3" customFormat="1" ht="12.75">
      <c r="A15" s="3" t="s">
        <v>43</v>
      </c>
      <c r="E15" s="4">
        <f aca="true" t="shared" si="1" ref="E15:P15">SUM(E10:E14)</f>
        <v>132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100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32</v>
      </c>
      <c r="Q15" s="43">
        <f>SUM(F15:P15)-E15</f>
        <v>0</v>
      </c>
    </row>
    <row r="16" spans="5:17" s="3" customFormat="1" ht="12.7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3">
        <f t="shared" si="0"/>
        <v>0</v>
      </c>
    </row>
    <row r="18" spans="1:17" s="5" customFormat="1" ht="15">
      <c r="A18" s="37"/>
      <c r="B18" s="37"/>
      <c r="C18" s="15"/>
      <c r="D18" s="15"/>
      <c r="E18" s="38"/>
      <c r="F18" s="16"/>
      <c r="G18" s="16"/>
      <c r="H18" s="16"/>
      <c r="I18" s="6"/>
      <c r="J18" s="6"/>
      <c r="K18" s="6"/>
      <c r="L18" s="6"/>
      <c r="M18" s="6"/>
      <c r="N18" s="6"/>
      <c r="O18" s="6"/>
      <c r="P18" s="6"/>
      <c r="Q18" s="43"/>
    </row>
    <row r="19" spans="2:17" s="5" customFormat="1" ht="12.75">
      <c r="B19" s="5" t="s">
        <v>331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43"/>
    </row>
    <row r="20" spans="5:17" s="5" customFormat="1" ht="12.75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3"/>
    </row>
    <row r="21" spans="5:17" s="5" customFormat="1" ht="12.75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43"/>
    </row>
    <row r="22" spans="5:17" s="5" customFormat="1" ht="12.75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43"/>
    </row>
    <row r="23" spans="5:17" s="5" customFormat="1" ht="12.75"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43">
        <f aca="true" t="shared" si="2" ref="Q23:Q57">SUM(F23:P23)-E23</f>
        <v>0</v>
      </c>
    </row>
    <row r="24" spans="5:17" s="5" customFormat="1" ht="12.75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43"/>
    </row>
    <row r="25" spans="1:17" s="3" customFormat="1" ht="12.75">
      <c r="A25" s="3" t="s">
        <v>44</v>
      </c>
      <c r="E25" s="4">
        <f>SUM(E17:E23)</f>
        <v>0</v>
      </c>
      <c r="F25" s="4">
        <f aca="true" t="shared" si="3" ref="F25:Q25">SUM(F17:F23)</f>
        <v>0</v>
      </c>
      <c r="G25" s="4">
        <f t="shared" si="3"/>
        <v>0</v>
      </c>
      <c r="H25" s="4">
        <f t="shared" si="3"/>
        <v>0</v>
      </c>
      <c r="I25" s="4">
        <f t="shared" si="3"/>
        <v>0</v>
      </c>
      <c r="J25" s="4">
        <f t="shared" si="3"/>
        <v>0</v>
      </c>
      <c r="K25" s="4">
        <f t="shared" si="3"/>
        <v>0</v>
      </c>
      <c r="L25" s="4">
        <f t="shared" si="3"/>
        <v>0</v>
      </c>
      <c r="M25" s="4">
        <f t="shared" si="3"/>
        <v>0</v>
      </c>
      <c r="N25" s="4">
        <f t="shared" si="3"/>
        <v>0</v>
      </c>
      <c r="O25" s="4">
        <f t="shared" si="3"/>
        <v>0</v>
      </c>
      <c r="P25" s="4">
        <f t="shared" si="3"/>
        <v>0</v>
      </c>
      <c r="Q25" s="44">
        <f t="shared" si="3"/>
        <v>0</v>
      </c>
    </row>
    <row r="26" spans="5:17" s="5" customFormat="1" ht="12.75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43">
        <f t="shared" si="2"/>
        <v>0</v>
      </c>
    </row>
    <row r="27" spans="1:17" s="5" customFormat="1" ht="12.75">
      <c r="A27" s="5" t="s">
        <v>110</v>
      </c>
      <c r="B27" s="5" t="s">
        <v>115</v>
      </c>
      <c r="E27" s="6">
        <v>500</v>
      </c>
      <c r="F27" s="6"/>
      <c r="G27" s="6"/>
      <c r="H27" s="6"/>
      <c r="I27" s="6"/>
      <c r="J27" s="6"/>
      <c r="K27" s="6"/>
      <c r="L27" s="6">
        <v>500</v>
      </c>
      <c r="M27" s="6"/>
      <c r="N27" s="6"/>
      <c r="O27" s="6"/>
      <c r="P27" s="6"/>
      <c r="Q27" s="43">
        <f t="shared" si="2"/>
        <v>0</v>
      </c>
    </row>
    <row r="28" spans="1:17" s="5" customFormat="1" ht="12.75">
      <c r="A28" s="5" t="s">
        <v>110</v>
      </c>
      <c r="B28" s="5" t="s">
        <v>111</v>
      </c>
      <c r="E28" s="6">
        <v>130</v>
      </c>
      <c r="F28" s="6"/>
      <c r="G28" s="6"/>
      <c r="H28" s="6"/>
      <c r="I28" s="6"/>
      <c r="J28" s="6"/>
      <c r="K28" s="6"/>
      <c r="L28" s="6">
        <v>130</v>
      </c>
      <c r="M28" s="6"/>
      <c r="N28" s="6"/>
      <c r="O28" s="6"/>
      <c r="P28" s="6"/>
      <c r="Q28" s="43">
        <f t="shared" si="2"/>
        <v>0</v>
      </c>
    </row>
    <row r="29" spans="1:17" s="5" customFormat="1" ht="12.75">
      <c r="A29" s="5" t="s">
        <v>112</v>
      </c>
      <c r="B29" s="5" t="s">
        <v>113</v>
      </c>
      <c r="E29" s="6">
        <v>347.32</v>
      </c>
      <c r="F29" s="6"/>
      <c r="G29" s="6"/>
      <c r="H29" s="6"/>
      <c r="I29" s="6"/>
      <c r="J29" s="6"/>
      <c r="K29" s="6"/>
      <c r="L29" s="6"/>
      <c r="M29" s="6">
        <v>347.32</v>
      </c>
      <c r="N29" s="6"/>
      <c r="O29" s="6"/>
      <c r="P29" s="6"/>
      <c r="Q29" s="43">
        <f t="shared" si="2"/>
        <v>0</v>
      </c>
    </row>
    <row r="30" spans="1:17" s="5" customFormat="1" ht="12.75">
      <c r="A30" s="5" t="s">
        <v>116</v>
      </c>
      <c r="B30" s="7" t="s">
        <v>92</v>
      </c>
      <c r="E30" s="6">
        <v>8.57</v>
      </c>
      <c r="F30" s="6"/>
      <c r="G30" s="6"/>
      <c r="H30" s="6">
        <v>8.57</v>
      </c>
      <c r="I30" s="6"/>
      <c r="J30" s="6"/>
      <c r="K30" s="6"/>
      <c r="L30" s="6"/>
      <c r="M30" s="6"/>
      <c r="N30" s="6"/>
      <c r="O30" s="6"/>
      <c r="P30" s="6"/>
      <c r="Q30" s="43">
        <f t="shared" si="2"/>
        <v>0</v>
      </c>
    </row>
    <row r="31" spans="1:17" s="5" customFormat="1" ht="12.75">
      <c r="A31" s="5" t="s">
        <v>117</v>
      </c>
      <c r="B31" s="7" t="s">
        <v>118</v>
      </c>
      <c r="E31" s="6">
        <v>11821.51</v>
      </c>
      <c r="F31" s="6"/>
      <c r="G31" s="6"/>
      <c r="H31" s="6"/>
      <c r="I31" s="6"/>
      <c r="J31" s="6"/>
      <c r="K31" s="6"/>
      <c r="L31" s="6">
        <v>10000</v>
      </c>
      <c r="M31" s="6"/>
      <c r="N31" s="6"/>
      <c r="O31" s="6">
        <v>1821.51</v>
      </c>
      <c r="P31" s="6"/>
      <c r="Q31" s="43">
        <f t="shared" si="2"/>
        <v>0</v>
      </c>
    </row>
    <row r="32" spans="2:17" s="5" customFormat="1" ht="12.75">
      <c r="B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43">
        <f t="shared" si="2"/>
        <v>0</v>
      </c>
    </row>
    <row r="33" spans="2:17" s="5" customFormat="1" ht="12.75">
      <c r="B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43">
        <f t="shared" si="2"/>
        <v>0</v>
      </c>
    </row>
    <row r="34" spans="1:17" s="3" customFormat="1" ht="12.75">
      <c r="A34" s="3" t="s">
        <v>45</v>
      </c>
      <c r="E34" s="4">
        <f>SUM(E27:E31)</f>
        <v>12807.4</v>
      </c>
      <c r="F34" s="4">
        <f aca="true" t="shared" si="4" ref="F34:K34">SUM(F27:F28)</f>
        <v>0</v>
      </c>
      <c r="G34" s="4">
        <f>SUM(G27:G28)</f>
        <v>0</v>
      </c>
      <c r="H34" s="4">
        <f>SUM(H27:H31)</f>
        <v>8.57</v>
      </c>
      <c r="I34" s="4">
        <f t="shared" si="4"/>
        <v>0</v>
      </c>
      <c r="J34" s="4">
        <f t="shared" si="4"/>
        <v>0</v>
      </c>
      <c r="K34" s="4">
        <f t="shared" si="4"/>
        <v>0</v>
      </c>
      <c r="L34" s="4">
        <f>SUM(L27:L32)</f>
        <v>10630</v>
      </c>
      <c r="M34" s="4">
        <f>SUM(M27:M29)</f>
        <v>347.32</v>
      </c>
      <c r="N34" s="4">
        <f>SUM(N27:N32)</f>
        <v>0</v>
      </c>
      <c r="O34" s="4">
        <f>SUM(O27:O32)</f>
        <v>1821.51</v>
      </c>
      <c r="P34" s="4">
        <f>SUM(P28:P28)</f>
        <v>0</v>
      </c>
      <c r="Q34" s="43">
        <f>SUM(F34:P34)-E34</f>
        <v>0</v>
      </c>
    </row>
    <row r="35" spans="5:17" s="3" customFormat="1" ht="12.7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3">
        <f t="shared" si="2"/>
        <v>0</v>
      </c>
    </row>
    <row r="36" spans="1:17" s="5" customFormat="1" ht="12.75">
      <c r="A36" s="5" t="s">
        <v>132</v>
      </c>
      <c r="B36" s="5" t="s">
        <v>134</v>
      </c>
      <c r="E36" s="6">
        <v>539.2</v>
      </c>
      <c r="F36" s="6"/>
      <c r="G36" s="6"/>
      <c r="H36" s="6"/>
      <c r="I36" s="6"/>
      <c r="J36" s="6"/>
      <c r="K36" s="6"/>
      <c r="L36" s="6">
        <v>539.2</v>
      </c>
      <c r="M36" s="6"/>
      <c r="N36" s="6"/>
      <c r="O36" s="6"/>
      <c r="P36" s="6"/>
      <c r="Q36" s="43">
        <f t="shared" si="2"/>
        <v>0</v>
      </c>
    </row>
    <row r="37" spans="1:17" s="3" customFormat="1" ht="12.75">
      <c r="A37" s="5" t="s">
        <v>133</v>
      </c>
      <c r="B37" s="5" t="s">
        <v>134</v>
      </c>
      <c r="E37" s="6">
        <v>263.2</v>
      </c>
      <c r="F37" s="4"/>
      <c r="G37" s="4"/>
      <c r="H37" s="4"/>
      <c r="I37" s="4"/>
      <c r="J37" s="4"/>
      <c r="K37" s="4"/>
      <c r="L37" s="6">
        <v>263.2</v>
      </c>
      <c r="M37" s="4"/>
      <c r="N37" s="4"/>
      <c r="O37" s="4"/>
      <c r="P37" s="4"/>
      <c r="Q37" s="43">
        <f t="shared" si="2"/>
        <v>0</v>
      </c>
    </row>
    <row r="38" spans="1:17" s="3" customFormat="1" ht="12.75">
      <c r="A38" s="3" t="s">
        <v>46</v>
      </c>
      <c r="E38" s="4">
        <f>SUM(E36:E37)</f>
        <v>802.4000000000001</v>
      </c>
      <c r="F38" s="4">
        <f aca="true" t="shared" si="5" ref="F38:P38">SUM(F37:F37)</f>
        <v>0</v>
      </c>
      <c r="G38" s="4">
        <f>SUM(G37:G37)</f>
        <v>0</v>
      </c>
      <c r="H38" s="4">
        <f t="shared" si="5"/>
        <v>0</v>
      </c>
      <c r="I38" s="4">
        <f t="shared" si="5"/>
        <v>0</v>
      </c>
      <c r="J38" s="4">
        <f t="shared" si="5"/>
        <v>0</v>
      </c>
      <c r="K38" s="4">
        <f t="shared" si="5"/>
        <v>0</v>
      </c>
      <c r="L38" s="4">
        <f>SUM(L36:L37)</f>
        <v>802.4000000000001</v>
      </c>
      <c r="M38" s="4">
        <f t="shared" si="5"/>
        <v>0</v>
      </c>
      <c r="N38" s="4">
        <f>SUM(N37:N37)</f>
        <v>0</v>
      </c>
      <c r="O38" s="4">
        <f t="shared" si="5"/>
        <v>0</v>
      </c>
      <c r="P38" s="4">
        <f t="shared" si="5"/>
        <v>0</v>
      </c>
      <c r="Q38" s="43">
        <f t="shared" si="2"/>
        <v>0</v>
      </c>
    </row>
    <row r="39" spans="5:17" s="5" customFormat="1" ht="12.75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43">
        <f t="shared" si="2"/>
        <v>0</v>
      </c>
    </row>
    <row r="40" spans="1:17" s="5" customFormat="1" ht="12.75">
      <c r="A40" s="5" t="s">
        <v>135</v>
      </c>
      <c r="B40" s="5" t="s">
        <v>136</v>
      </c>
      <c r="E40" s="6">
        <v>40</v>
      </c>
      <c r="F40" s="6"/>
      <c r="G40" s="6"/>
      <c r="H40" s="6"/>
      <c r="I40" s="6"/>
      <c r="J40" s="6">
        <v>40</v>
      </c>
      <c r="K40" s="6"/>
      <c r="L40" s="6"/>
      <c r="M40" s="6"/>
      <c r="N40" s="6"/>
      <c r="O40" s="6"/>
      <c r="P40" s="13"/>
      <c r="Q40" s="43">
        <f t="shared" si="2"/>
        <v>0</v>
      </c>
    </row>
    <row r="41" spans="1:17" s="5" customFormat="1" ht="12.75">
      <c r="A41" s="5" t="s">
        <v>137</v>
      </c>
      <c r="B41" s="5" t="s">
        <v>250</v>
      </c>
      <c r="E41" s="6">
        <v>372</v>
      </c>
      <c r="F41" s="6"/>
      <c r="G41" s="6"/>
      <c r="H41" s="6"/>
      <c r="I41" s="6"/>
      <c r="J41" s="6"/>
      <c r="K41" s="6"/>
      <c r="L41" s="6">
        <v>372</v>
      </c>
      <c r="M41" s="6"/>
      <c r="N41" s="6"/>
      <c r="O41" s="6"/>
      <c r="P41" s="6"/>
      <c r="Q41" s="43">
        <f t="shared" si="2"/>
        <v>0</v>
      </c>
    </row>
    <row r="42" spans="1:17" s="5" customFormat="1" ht="12.75">
      <c r="A42" s="5" t="s">
        <v>137</v>
      </c>
      <c r="B42" s="5" t="s">
        <v>159</v>
      </c>
      <c r="E42" s="6">
        <v>170.2</v>
      </c>
      <c r="F42" s="6"/>
      <c r="G42" s="6"/>
      <c r="H42" s="6"/>
      <c r="I42" s="6"/>
      <c r="J42" s="6"/>
      <c r="K42" s="6"/>
      <c r="L42" s="6">
        <v>170.2</v>
      </c>
      <c r="M42" s="6"/>
      <c r="N42" s="6"/>
      <c r="O42" s="6"/>
      <c r="P42" s="6"/>
      <c r="Q42" s="43">
        <f t="shared" si="2"/>
        <v>0</v>
      </c>
    </row>
    <row r="43" spans="1:17" s="5" customFormat="1" ht="12.75">
      <c r="A43" s="5" t="s">
        <v>138</v>
      </c>
      <c r="B43" s="5" t="s">
        <v>159</v>
      </c>
      <c r="E43" s="6">
        <v>10</v>
      </c>
      <c r="F43" s="6"/>
      <c r="G43" s="6"/>
      <c r="H43" s="6"/>
      <c r="I43" s="6"/>
      <c r="J43" s="6"/>
      <c r="K43" s="6"/>
      <c r="L43" s="6">
        <v>10</v>
      </c>
      <c r="M43" s="6"/>
      <c r="N43" s="6"/>
      <c r="O43" s="6"/>
      <c r="P43" s="6"/>
      <c r="Q43" s="43">
        <f t="shared" si="2"/>
        <v>0</v>
      </c>
    </row>
    <row r="44" spans="1:17" s="3" customFormat="1" ht="12.75">
      <c r="A44" s="3" t="s">
        <v>47</v>
      </c>
      <c r="E44" s="4">
        <f>SUM(E39:E43)</f>
        <v>592.2</v>
      </c>
      <c r="F44" s="4">
        <f aca="true" t="shared" si="6" ref="F44:O44">SUM(F40:F43)</f>
        <v>0</v>
      </c>
      <c r="G44" s="4">
        <f>SUM(G40:G43)</f>
        <v>0</v>
      </c>
      <c r="H44" s="4">
        <f>SUM(H39:H41)</f>
        <v>0</v>
      </c>
      <c r="I44" s="4">
        <f t="shared" si="6"/>
        <v>0</v>
      </c>
      <c r="J44" s="4">
        <f t="shared" si="6"/>
        <v>40</v>
      </c>
      <c r="K44" s="4">
        <f t="shared" si="6"/>
        <v>0</v>
      </c>
      <c r="L44" s="4">
        <f t="shared" si="6"/>
        <v>552.2</v>
      </c>
      <c r="M44" s="4">
        <f t="shared" si="6"/>
        <v>0</v>
      </c>
      <c r="N44" s="4">
        <f>SUM(N40:N43)</f>
        <v>0</v>
      </c>
      <c r="O44" s="4">
        <f t="shared" si="6"/>
        <v>0</v>
      </c>
      <c r="P44" s="4">
        <f>SUM(P40:P43)</f>
        <v>0</v>
      </c>
      <c r="Q44" s="43">
        <f t="shared" si="2"/>
        <v>0</v>
      </c>
    </row>
    <row r="45" spans="5:17" s="3" customFormat="1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3">
        <f t="shared" si="2"/>
        <v>0</v>
      </c>
    </row>
    <row r="46" spans="1:17" s="5" customFormat="1" ht="12.75">
      <c r="A46" s="5" t="s">
        <v>143</v>
      </c>
      <c r="B46" s="5" t="s">
        <v>144</v>
      </c>
      <c r="E46" s="6">
        <v>136.96</v>
      </c>
      <c r="F46" s="6"/>
      <c r="G46" s="6"/>
      <c r="H46" s="6"/>
      <c r="I46" s="6"/>
      <c r="J46" s="6"/>
      <c r="K46" s="6"/>
      <c r="L46" s="6">
        <v>136.96</v>
      </c>
      <c r="M46" s="6"/>
      <c r="N46" s="6"/>
      <c r="O46" s="6"/>
      <c r="P46" s="6"/>
      <c r="Q46" s="43">
        <f t="shared" si="2"/>
        <v>0</v>
      </c>
    </row>
    <row r="47" spans="1:17" s="5" customFormat="1" ht="12.75">
      <c r="A47" s="5" t="s">
        <v>145</v>
      </c>
      <c r="B47" s="5" t="s">
        <v>146</v>
      </c>
      <c r="E47" s="6">
        <v>4872</v>
      </c>
      <c r="F47" s="6">
        <v>4576</v>
      </c>
      <c r="G47" s="6">
        <v>296</v>
      </c>
      <c r="H47" s="6"/>
      <c r="I47" s="6"/>
      <c r="J47" s="6"/>
      <c r="K47" s="6"/>
      <c r="L47" s="6"/>
      <c r="M47" s="6"/>
      <c r="N47" s="6"/>
      <c r="O47" s="6"/>
      <c r="P47" s="6"/>
      <c r="Q47" s="43">
        <f t="shared" si="2"/>
        <v>0</v>
      </c>
    </row>
    <row r="48" spans="1:17" s="5" customFormat="1" ht="12.75">
      <c r="A48" s="5" t="s">
        <v>147</v>
      </c>
      <c r="B48" s="5" t="s">
        <v>57</v>
      </c>
      <c r="D48" s="5" t="s">
        <v>148</v>
      </c>
      <c r="E48" s="6">
        <v>14.48</v>
      </c>
      <c r="F48" s="6"/>
      <c r="G48" s="6"/>
      <c r="H48" s="6">
        <v>14.48</v>
      </c>
      <c r="I48" s="6"/>
      <c r="J48" s="6"/>
      <c r="K48" s="6"/>
      <c r="L48" s="6"/>
      <c r="M48" s="6"/>
      <c r="N48" s="6"/>
      <c r="O48" s="6"/>
      <c r="P48" s="6"/>
      <c r="Q48" s="43">
        <f t="shared" si="2"/>
        <v>0</v>
      </c>
    </row>
    <row r="49" spans="5:17" s="5" customFormat="1" ht="12.75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3">
        <f t="shared" si="2"/>
        <v>0</v>
      </c>
    </row>
    <row r="50" spans="5:17" s="5" customFormat="1" ht="12.75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3">
        <f t="shared" si="2"/>
        <v>0</v>
      </c>
    </row>
    <row r="51" spans="5:17" s="5" customFormat="1" ht="12.75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3">
        <f t="shared" si="2"/>
        <v>0</v>
      </c>
    </row>
    <row r="52" spans="1:17" s="3" customFormat="1" ht="12.75">
      <c r="A52" s="3" t="s">
        <v>48</v>
      </c>
      <c r="E52" s="4">
        <f>SUM(E46:E51)</f>
        <v>5023.44</v>
      </c>
      <c r="F52" s="4">
        <f aca="true" t="shared" si="7" ref="F52:O52">SUM(F46:F51)</f>
        <v>4576</v>
      </c>
      <c r="G52" s="4">
        <f>SUM(G46:G51)</f>
        <v>296</v>
      </c>
      <c r="H52" s="4">
        <f t="shared" si="7"/>
        <v>14.48</v>
      </c>
      <c r="I52" s="4">
        <f t="shared" si="7"/>
        <v>0</v>
      </c>
      <c r="J52" s="4">
        <f t="shared" si="7"/>
        <v>0</v>
      </c>
      <c r="K52" s="4">
        <f t="shared" si="7"/>
        <v>0</v>
      </c>
      <c r="L52" s="4">
        <f t="shared" si="7"/>
        <v>136.96</v>
      </c>
      <c r="M52" s="4">
        <f t="shared" si="7"/>
        <v>0</v>
      </c>
      <c r="N52" s="4">
        <f>SUM(N46:N51)</f>
        <v>0</v>
      </c>
      <c r="O52" s="4">
        <f t="shared" si="7"/>
        <v>0</v>
      </c>
      <c r="P52" s="4">
        <f>SUM(P46:P51)</f>
        <v>0</v>
      </c>
      <c r="Q52" s="43">
        <f t="shared" si="2"/>
        <v>0</v>
      </c>
    </row>
    <row r="53" spans="5:17" s="5" customFormat="1" ht="12.75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43">
        <f t="shared" si="2"/>
        <v>0</v>
      </c>
    </row>
    <row r="54" spans="1:17" s="5" customFormat="1" ht="12.75">
      <c r="A54" s="5" t="s">
        <v>258</v>
      </c>
      <c r="B54" s="5" t="s">
        <v>173</v>
      </c>
      <c r="C54" s="5" t="s">
        <v>21</v>
      </c>
      <c r="D54" s="5" t="s">
        <v>174</v>
      </c>
      <c r="E54" s="6">
        <v>110</v>
      </c>
      <c r="F54" s="6"/>
      <c r="G54" s="6"/>
      <c r="H54" s="6"/>
      <c r="I54" s="6"/>
      <c r="J54" s="6"/>
      <c r="K54" s="6"/>
      <c r="L54" s="6">
        <v>110</v>
      </c>
      <c r="M54" s="6"/>
      <c r="N54" s="6"/>
      <c r="O54" s="6"/>
      <c r="P54" s="6"/>
      <c r="Q54" s="43">
        <f t="shared" si="2"/>
        <v>0</v>
      </c>
    </row>
    <row r="55" spans="1:17" s="5" customFormat="1" ht="12.75">
      <c r="A55" s="5" t="s">
        <v>278</v>
      </c>
      <c r="B55" s="5" t="s">
        <v>279</v>
      </c>
      <c r="C55" s="5" t="s">
        <v>21</v>
      </c>
      <c r="D55" s="5" t="s">
        <v>211</v>
      </c>
      <c r="E55" s="6">
        <v>80</v>
      </c>
      <c r="F55" s="6"/>
      <c r="G55" s="6"/>
      <c r="H55" s="6"/>
      <c r="I55" s="6">
        <v>80</v>
      </c>
      <c r="J55" s="6"/>
      <c r="K55" s="6"/>
      <c r="L55" s="6"/>
      <c r="M55" s="6"/>
      <c r="N55" s="6"/>
      <c r="O55" s="6"/>
      <c r="P55" s="6"/>
      <c r="Q55" s="43">
        <f t="shared" si="2"/>
        <v>0</v>
      </c>
    </row>
    <row r="56" spans="5:17" s="5" customFormat="1" ht="12.75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43">
        <f t="shared" si="2"/>
        <v>0</v>
      </c>
    </row>
    <row r="57" spans="1:17" s="3" customFormat="1" ht="12.75">
      <c r="A57" s="3" t="s">
        <v>49</v>
      </c>
      <c r="E57" s="4">
        <f>SUM(E53:E56)</f>
        <v>190</v>
      </c>
      <c r="F57" s="4">
        <f aca="true" t="shared" si="8" ref="F57:P57">SUM(F53:F56)</f>
        <v>0</v>
      </c>
      <c r="G57" s="4">
        <f>SUM(G53:G56)</f>
        <v>0</v>
      </c>
      <c r="H57" s="4">
        <f t="shared" si="8"/>
        <v>0</v>
      </c>
      <c r="I57" s="4">
        <f t="shared" si="8"/>
        <v>80</v>
      </c>
      <c r="J57" s="4">
        <f t="shared" si="8"/>
        <v>0</v>
      </c>
      <c r="K57" s="4">
        <f t="shared" si="8"/>
        <v>0</v>
      </c>
      <c r="L57" s="4">
        <f t="shared" si="8"/>
        <v>110</v>
      </c>
      <c r="M57" s="4">
        <f t="shared" si="8"/>
        <v>0</v>
      </c>
      <c r="N57" s="4">
        <f>SUM(N53:N56)</f>
        <v>0</v>
      </c>
      <c r="O57" s="4">
        <f t="shared" si="8"/>
        <v>0</v>
      </c>
      <c r="P57" s="4">
        <f t="shared" si="8"/>
        <v>0</v>
      </c>
      <c r="Q57" s="43">
        <f t="shared" si="2"/>
        <v>0</v>
      </c>
    </row>
    <row r="58" spans="5:17" s="5" customFormat="1" ht="12.75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43">
        <f>SUM(F58:P58)-E58</f>
        <v>0</v>
      </c>
    </row>
    <row r="59" spans="1:17" s="5" customFormat="1" ht="12.75">
      <c r="A59" s="5" t="s">
        <v>284</v>
      </c>
      <c r="B59" s="5" t="s">
        <v>32</v>
      </c>
      <c r="C59" s="5" t="s">
        <v>21</v>
      </c>
      <c r="D59" s="5" t="s">
        <v>285</v>
      </c>
      <c r="E59" s="6">
        <v>10.85</v>
      </c>
      <c r="F59" s="6"/>
      <c r="G59" s="6"/>
      <c r="H59" s="6">
        <v>10.85</v>
      </c>
      <c r="I59" s="6"/>
      <c r="J59" s="6"/>
      <c r="K59" s="6"/>
      <c r="L59" s="6"/>
      <c r="M59" s="6"/>
      <c r="N59" s="6"/>
      <c r="O59" s="6"/>
      <c r="P59" s="6"/>
      <c r="Q59" s="43"/>
    </row>
    <row r="60" spans="1:17" s="5" customFormat="1" ht="12.75">
      <c r="A60" s="8" t="s">
        <v>282</v>
      </c>
      <c r="B60" s="5" t="s">
        <v>265</v>
      </c>
      <c r="C60" s="5" t="s">
        <v>21</v>
      </c>
      <c r="D60" s="5" t="s">
        <v>283</v>
      </c>
      <c r="E60" s="6">
        <v>1176.49</v>
      </c>
      <c r="F60" s="6"/>
      <c r="G60" s="6"/>
      <c r="H60" s="6"/>
      <c r="I60" s="6"/>
      <c r="J60" s="6"/>
      <c r="K60" s="6"/>
      <c r="L60" s="6"/>
      <c r="M60" s="6"/>
      <c r="N60" s="6"/>
      <c r="O60" s="6">
        <v>1176.49</v>
      </c>
      <c r="P60" s="6"/>
      <c r="Q60" s="43">
        <f aca="true" t="shared" si="9" ref="Q60:Q70">SUM(F60:P60)-E60</f>
        <v>0</v>
      </c>
    </row>
    <row r="61" spans="5:17" s="5" customFormat="1" ht="12.75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43">
        <f t="shared" si="9"/>
        <v>0</v>
      </c>
    </row>
    <row r="62" spans="1:17" s="3" customFormat="1" ht="12.75">
      <c r="A62" s="3" t="s">
        <v>50</v>
      </c>
      <c r="E62" s="4">
        <f>SUM(E58:E61)</f>
        <v>1187.34</v>
      </c>
      <c r="F62" s="4">
        <f>SUM(F58:F61)</f>
        <v>0</v>
      </c>
      <c r="G62" s="4">
        <f>SUM(G58:G61)</f>
        <v>0</v>
      </c>
      <c r="H62" s="4">
        <f>SUM(H58:H61)</f>
        <v>10.85</v>
      </c>
      <c r="I62" s="4">
        <f>SUM(I58:I61)</f>
        <v>0</v>
      </c>
      <c r="J62" s="4">
        <f aca="true" t="shared" si="10" ref="J62:P62">SUM(J58:J61)</f>
        <v>0</v>
      </c>
      <c r="K62" s="4">
        <f t="shared" si="10"/>
        <v>0</v>
      </c>
      <c r="L62" s="4">
        <f t="shared" si="10"/>
        <v>0</v>
      </c>
      <c r="M62" s="4">
        <f t="shared" si="10"/>
        <v>0</v>
      </c>
      <c r="N62" s="4">
        <f>SUM(N58:N61)</f>
        <v>0</v>
      </c>
      <c r="O62" s="4">
        <f t="shared" si="10"/>
        <v>1176.49</v>
      </c>
      <c r="P62" s="4">
        <f t="shared" si="10"/>
        <v>0</v>
      </c>
      <c r="Q62" s="43">
        <f t="shared" si="9"/>
        <v>0</v>
      </c>
    </row>
    <row r="63" spans="5:17" s="3" customFormat="1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3">
        <f t="shared" si="9"/>
        <v>0</v>
      </c>
    </row>
    <row r="64" spans="1:17" s="5" customFormat="1" ht="12.75">
      <c r="A64" s="34" t="s">
        <v>286</v>
      </c>
      <c r="B64" s="5" t="s">
        <v>287</v>
      </c>
      <c r="C64" s="5" t="s">
        <v>21</v>
      </c>
      <c r="D64" s="5" t="s">
        <v>288</v>
      </c>
      <c r="E64" s="6">
        <v>5271.2</v>
      </c>
      <c r="F64" s="6"/>
      <c r="G64" s="6"/>
      <c r="H64" s="6"/>
      <c r="I64" s="6"/>
      <c r="J64" s="6"/>
      <c r="K64" s="6"/>
      <c r="L64" s="6"/>
      <c r="M64" s="6">
        <v>5271.2</v>
      </c>
      <c r="N64" s="6"/>
      <c r="O64" s="6"/>
      <c r="P64" s="6"/>
      <c r="Q64" s="43">
        <f t="shared" si="9"/>
        <v>0</v>
      </c>
    </row>
    <row r="65" spans="1:17" s="5" customFormat="1" ht="12.75">
      <c r="A65" s="34" t="s">
        <v>289</v>
      </c>
      <c r="B65" s="5" t="s">
        <v>88</v>
      </c>
      <c r="C65" s="5" t="s">
        <v>21</v>
      </c>
      <c r="D65" s="5" t="s">
        <v>290</v>
      </c>
      <c r="E65" s="6">
        <v>2934.23</v>
      </c>
      <c r="F65" s="6"/>
      <c r="G65" s="6"/>
      <c r="H65" s="6"/>
      <c r="I65" s="6"/>
      <c r="J65" s="6"/>
      <c r="K65" s="6"/>
      <c r="L65" s="6"/>
      <c r="M65" s="6"/>
      <c r="N65" s="6"/>
      <c r="O65" s="6">
        <v>2250</v>
      </c>
      <c r="P65" s="6">
        <f>600+147.09+36-98.86</f>
        <v>684.23</v>
      </c>
      <c r="Q65" s="43">
        <f t="shared" si="9"/>
        <v>0</v>
      </c>
    </row>
    <row r="66" spans="1:19" s="5" customFormat="1" ht="12.75">
      <c r="A66" s="5" t="s">
        <v>291</v>
      </c>
      <c r="B66" s="5" t="s">
        <v>292</v>
      </c>
      <c r="C66" s="5" t="s">
        <v>21</v>
      </c>
      <c r="D66" s="5" t="s">
        <v>33</v>
      </c>
      <c r="E66" s="6">
        <v>220</v>
      </c>
      <c r="F66" s="6"/>
      <c r="G66" s="6"/>
      <c r="H66" s="6"/>
      <c r="I66" s="6">
        <v>220</v>
      </c>
      <c r="J66" s="6"/>
      <c r="K66" s="6"/>
      <c r="L66" s="6"/>
      <c r="M66" s="6"/>
      <c r="N66" s="6"/>
      <c r="O66" s="6"/>
      <c r="P66" s="6"/>
      <c r="Q66" s="43">
        <f t="shared" si="9"/>
        <v>0</v>
      </c>
      <c r="S66" s="149"/>
    </row>
    <row r="67" spans="1:17" ht="12.75">
      <c r="A67" s="5" t="s">
        <v>293</v>
      </c>
      <c r="B67" s="5" t="s">
        <v>294</v>
      </c>
      <c r="C67" s="5" t="s">
        <v>21</v>
      </c>
      <c r="D67" s="5" t="s">
        <v>295</v>
      </c>
      <c r="E67" s="2">
        <v>40</v>
      </c>
      <c r="I67" s="2">
        <v>40</v>
      </c>
      <c r="Q67" s="43">
        <f t="shared" si="9"/>
        <v>0</v>
      </c>
    </row>
    <row r="68" spans="1:17" s="3" customFormat="1" ht="12.75">
      <c r="A68" s="3" t="s">
        <v>51</v>
      </c>
      <c r="E68" s="4">
        <f>SUM(E63:E67)</f>
        <v>8465.43</v>
      </c>
      <c r="F68" s="4">
        <f aca="true" t="shared" si="11" ref="F68:Q68">SUM(F63:F67)</f>
        <v>0</v>
      </c>
      <c r="G68" s="4">
        <f t="shared" si="11"/>
        <v>0</v>
      </c>
      <c r="H68" s="4">
        <f t="shared" si="11"/>
        <v>0</v>
      </c>
      <c r="I68" s="4">
        <f t="shared" si="11"/>
        <v>260</v>
      </c>
      <c r="J68" s="4">
        <f t="shared" si="11"/>
        <v>0</v>
      </c>
      <c r="K68" s="4">
        <f t="shared" si="11"/>
        <v>0</v>
      </c>
      <c r="L68" s="4">
        <f t="shared" si="11"/>
        <v>0</v>
      </c>
      <c r="M68" s="4">
        <f t="shared" si="11"/>
        <v>5271.2</v>
      </c>
      <c r="N68" s="4">
        <f t="shared" si="11"/>
        <v>0</v>
      </c>
      <c r="O68" s="4">
        <f t="shared" si="11"/>
        <v>2250</v>
      </c>
      <c r="P68" s="4">
        <f t="shared" si="11"/>
        <v>684.23</v>
      </c>
      <c r="Q68" s="4">
        <f t="shared" si="11"/>
        <v>0</v>
      </c>
    </row>
    <row r="69" spans="5:17" s="3" customFormat="1" ht="12.7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3">
        <f t="shared" si="9"/>
        <v>0</v>
      </c>
    </row>
    <row r="70" spans="1:17" s="15" customFormat="1" ht="12.75">
      <c r="A70" s="33" t="s">
        <v>318</v>
      </c>
      <c r="B70" s="15" t="s">
        <v>319</v>
      </c>
      <c r="C70" s="15" t="s">
        <v>21</v>
      </c>
      <c r="D70" s="15" t="s">
        <v>40</v>
      </c>
      <c r="E70" s="16">
        <v>8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>
        <v>8</v>
      </c>
      <c r="Q70" s="43">
        <f t="shared" si="9"/>
        <v>0</v>
      </c>
    </row>
    <row r="71" spans="4:17" s="15" customFormat="1" ht="12.75"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43">
        <f aca="true" t="shared" si="12" ref="Q71:Q83">SUM(F71:P71)-E71</f>
        <v>0</v>
      </c>
    </row>
    <row r="72" spans="5:17" s="5" customFormat="1" ht="12.75" customHeight="1"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43">
        <f t="shared" si="12"/>
        <v>0</v>
      </c>
    </row>
    <row r="73" spans="5:17" s="5" customFormat="1" ht="12.75" customHeight="1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43">
        <f t="shared" si="12"/>
        <v>0</v>
      </c>
    </row>
    <row r="74" spans="1:17" s="5" customFormat="1" ht="12.75">
      <c r="A74" s="3" t="s">
        <v>52</v>
      </c>
      <c r="E74" s="4">
        <f>SUM(E70:E72)</f>
        <v>8</v>
      </c>
      <c r="F74" s="4">
        <f aca="true" t="shared" si="13" ref="F74:P74">SUM(F70:F72)</f>
        <v>0</v>
      </c>
      <c r="G74" s="4">
        <f>SUM(G70:G72)</f>
        <v>0</v>
      </c>
      <c r="H74" s="4">
        <f t="shared" si="13"/>
        <v>0</v>
      </c>
      <c r="I74" s="4">
        <f t="shared" si="13"/>
        <v>0</v>
      </c>
      <c r="J74" s="4">
        <f t="shared" si="13"/>
        <v>0</v>
      </c>
      <c r="K74" s="4">
        <f t="shared" si="13"/>
        <v>0</v>
      </c>
      <c r="L74" s="4">
        <f t="shared" si="13"/>
        <v>0</v>
      </c>
      <c r="M74" s="4">
        <f t="shared" si="13"/>
        <v>0</v>
      </c>
      <c r="N74" s="4">
        <f>SUM(N70:N72)</f>
        <v>0</v>
      </c>
      <c r="O74" s="4">
        <f t="shared" si="13"/>
        <v>0</v>
      </c>
      <c r="P74" s="4">
        <f t="shared" si="13"/>
        <v>8</v>
      </c>
      <c r="Q74" s="43">
        <f t="shared" si="12"/>
        <v>0</v>
      </c>
    </row>
    <row r="75" spans="1:17" s="5" customFormat="1" ht="12.75">
      <c r="A75" s="3"/>
      <c r="E75" s="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43">
        <f t="shared" si="12"/>
        <v>0</v>
      </c>
    </row>
    <row r="76" spans="1:17" s="5" customFormat="1" ht="12.75">
      <c r="A76" s="5" t="s">
        <v>327</v>
      </c>
      <c r="B76" s="5" t="s">
        <v>57</v>
      </c>
      <c r="C76" s="5" t="s">
        <v>21</v>
      </c>
      <c r="D76" s="5" t="s">
        <v>285</v>
      </c>
      <c r="E76" s="6">
        <v>4.64</v>
      </c>
      <c r="F76" s="6"/>
      <c r="G76" s="6"/>
      <c r="H76" s="6">
        <v>4.64</v>
      </c>
      <c r="I76" s="6"/>
      <c r="J76" s="6"/>
      <c r="K76" s="6"/>
      <c r="L76" s="6"/>
      <c r="M76" s="6"/>
      <c r="N76" s="6"/>
      <c r="O76" s="6"/>
      <c r="P76" s="6"/>
      <c r="Q76" s="43">
        <f t="shared" si="12"/>
        <v>0</v>
      </c>
    </row>
    <row r="77" spans="5:17" s="5" customFormat="1" ht="12.75"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43">
        <f t="shared" si="12"/>
        <v>0</v>
      </c>
    </row>
    <row r="78" spans="5:17" s="9" customFormat="1" ht="12.75"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43">
        <f t="shared" si="12"/>
        <v>0</v>
      </c>
    </row>
    <row r="79" spans="5:17" s="9" customFormat="1" ht="12.75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43">
        <f t="shared" si="12"/>
        <v>0</v>
      </c>
    </row>
    <row r="80" spans="1:17" s="5" customFormat="1" ht="12.75">
      <c r="A80" s="3" t="s">
        <v>53</v>
      </c>
      <c r="E80" s="4">
        <f>SUM(E76:E78)</f>
        <v>4.64</v>
      </c>
      <c r="F80" s="4">
        <f>F78</f>
        <v>0</v>
      </c>
      <c r="G80" s="4">
        <f>G78</f>
        <v>0</v>
      </c>
      <c r="H80" s="4">
        <f>H76</f>
        <v>4.64</v>
      </c>
      <c r="I80" s="4">
        <f>I78</f>
        <v>0</v>
      </c>
      <c r="J80" s="4">
        <f>J78</f>
        <v>0</v>
      </c>
      <c r="K80" s="4">
        <f>K76</f>
        <v>0</v>
      </c>
      <c r="L80" s="4">
        <f>SUM(L77:L78)</f>
        <v>0</v>
      </c>
      <c r="M80" s="4">
        <f>M76</f>
        <v>0</v>
      </c>
      <c r="N80" s="4">
        <f>N76</f>
        <v>0</v>
      </c>
      <c r="O80" s="4">
        <f>SUM(O75:O79)</f>
        <v>0</v>
      </c>
      <c r="P80" s="4">
        <f>SUM(P75:P79)</f>
        <v>0</v>
      </c>
      <c r="Q80" s="43">
        <f t="shared" si="12"/>
        <v>0</v>
      </c>
    </row>
    <row r="81" spans="1:17" s="5" customFormat="1" ht="12.75">
      <c r="A81" s="3"/>
      <c r="E81" s="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43">
        <f t="shared" si="12"/>
        <v>0</v>
      </c>
    </row>
    <row r="82" spans="5:17" s="5" customFormat="1" ht="12.75"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43">
        <f t="shared" si="12"/>
        <v>0</v>
      </c>
    </row>
    <row r="83" spans="1:17" s="3" customFormat="1" ht="12.75">
      <c r="A83" s="3" t="s">
        <v>54</v>
      </c>
      <c r="E83" s="4">
        <f>E9+E15+E25+E34+E38+E52+E44+E68+E62+E74+E80+E57</f>
        <v>36335.85</v>
      </c>
      <c r="F83" s="4">
        <f aca="true" t="shared" si="14" ref="F83:P83">F9+F15+F25+F34+F38+F52+F44+F68+F62+F74+F80+F57</f>
        <v>9152</v>
      </c>
      <c r="G83" s="4">
        <f t="shared" si="14"/>
        <v>593</v>
      </c>
      <c r="H83" s="4">
        <f t="shared" si="14"/>
        <v>38.54</v>
      </c>
      <c r="I83" s="4">
        <f t="shared" si="14"/>
        <v>340</v>
      </c>
      <c r="J83" s="4">
        <f t="shared" si="14"/>
        <v>40</v>
      </c>
      <c r="K83" s="4">
        <f t="shared" si="14"/>
        <v>0</v>
      </c>
      <c r="L83" s="4">
        <f t="shared" si="14"/>
        <v>12331.56</v>
      </c>
      <c r="M83" s="4">
        <f t="shared" si="14"/>
        <v>5618.5199999999995</v>
      </c>
      <c r="N83" s="4">
        <f t="shared" si="14"/>
        <v>0</v>
      </c>
      <c r="O83" s="4">
        <f t="shared" si="14"/>
        <v>7498</v>
      </c>
      <c r="P83" s="4">
        <f t="shared" si="14"/>
        <v>724.23</v>
      </c>
      <c r="Q83" s="43">
        <f t="shared" si="12"/>
        <v>0</v>
      </c>
    </row>
    <row r="84" spans="4:5" ht="12.75">
      <c r="D84" t="s">
        <v>55</v>
      </c>
      <c r="E84" s="2">
        <f>SUM(F83:P83)</f>
        <v>36335.85</v>
      </c>
    </row>
    <row r="85" ht="12.75">
      <c r="E85" s="2">
        <f>E83-E84</f>
        <v>0</v>
      </c>
    </row>
    <row r="86" spans="6:16" ht="12.75">
      <c r="F86" s="6" t="s">
        <v>21</v>
      </c>
      <c r="G86" s="6" t="s">
        <v>21</v>
      </c>
      <c r="J86" s="6" t="s">
        <v>21</v>
      </c>
      <c r="K86" s="6" t="s">
        <v>21</v>
      </c>
      <c r="M86" s="6" t="s">
        <v>21</v>
      </c>
      <c r="P86" s="6" t="s">
        <v>21</v>
      </c>
    </row>
    <row r="87" s="11" customFormat="1" ht="12.75">
      <c r="Q87" s="46"/>
    </row>
    <row r="88" ht="12.75">
      <c r="S88" s="2"/>
    </row>
    <row r="90" spans="6:10" ht="12.75">
      <c r="F90" s="6" t="s">
        <v>21</v>
      </c>
      <c r="G90" s="6" t="s">
        <v>21</v>
      </c>
      <c r="H90" s="6" t="s">
        <v>21</v>
      </c>
      <c r="J90" s="6" t="s">
        <v>21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48"/>
  <sheetViews>
    <sheetView zoomScalePageLayoutView="0" workbookViewId="0" topLeftCell="A1">
      <pane ySplit="1" topLeftCell="A98" activePane="bottomLeft" state="frozen"/>
      <selection pane="topLeft" activeCell="A1" sqref="A1"/>
      <selection pane="bottomLeft" activeCell="V118" sqref="V118"/>
    </sheetView>
  </sheetViews>
  <sheetFormatPr defaultColWidth="9.140625" defaultRowHeight="12.75"/>
  <cols>
    <col min="1" max="1" width="9.8515625" style="18" customWidth="1"/>
    <col min="2" max="2" width="9.7109375" style="24" bestFit="1" customWidth="1"/>
    <col min="3" max="3" width="7.421875" style="18" customWidth="1"/>
    <col min="4" max="4" width="21.57421875" style="18" customWidth="1"/>
    <col min="5" max="5" width="25.28125" style="18" customWidth="1"/>
    <col min="6" max="6" width="10.28125" style="30" bestFit="1" customWidth="1"/>
    <col min="7" max="7" width="11.28125" style="18" bestFit="1" customWidth="1"/>
    <col min="8" max="8" width="14.28125" style="18" bestFit="1" customWidth="1"/>
    <col min="9" max="9" width="18.140625" style="18" customWidth="1"/>
    <col min="10" max="11" width="9.28125" style="18" bestFit="1" customWidth="1"/>
    <col min="12" max="12" width="8.140625" style="18" customWidth="1"/>
    <col min="13" max="13" width="9.28125" style="18" bestFit="1" customWidth="1"/>
    <col min="14" max="14" width="10.00390625" style="18" bestFit="1" customWidth="1"/>
    <col min="15" max="15" width="13.57421875" style="18" bestFit="1" customWidth="1"/>
    <col min="16" max="16" width="10.421875" style="18" bestFit="1" customWidth="1"/>
    <col min="17" max="18" width="9.28125" style="18" bestFit="1" customWidth="1"/>
    <col min="19" max="19" width="7.421875" style="18" customWidth="1"/>
    <col min="20" max="20" width="9.28125" style="18" bestFit="1" customWidth="1"/>
    <col min="21" max="21" width="10.7109375" style="18" customWidth="1"/>
    <col min="22" max="22" width="10.28125" style="18" bestFit="1" customWidth="1"/>
    <col min="23" max="23" width="9.28125" style="18" bestFit="1" customWidth="1"/>
    <col min="24" max="24" width="14.28125" style="18" customWidth="1"/>
    <col min="25" max="25" width="9.140625" style="18" customWidth="1"/>
    <col min="26" max="26" width="52.140625" style="18" customWidth="1"/>
    <col min="27" max="45" width="9.140625" style="18" customWidth="1"/>
    <col min="46" max="46" width="9.28125" style="18" bestFit="1" customWidth="1"/>
    <col min="47" max="16384" width="9.140625" style="18" customWidth="1"/>
  </cols>
  <sheetData>
    <row r="1" spans="1:34" s="123" customFormat="1" ht="12.75" customHeight="1">
      <c r="A1" s="123" t="s">
        <v>0</v>
      </c>
      <c r="B1" s="124" t="s">
        <v>1</v>
      </c>
      <c r="D1" s="123" t="s">
        <v>2</v>
      </c>
      <c r="E1" s="123" t="s">
        <v>3</v>
      </c>
      <c r="F1" s="125" t="s">
        <v>4</v>
      </c>
      <c r="G1" s="126" t="s">
        <v>5</v>
      </c>
      <c r="H1" s="126" t="s">
        <v>66</v>
      </c>
      <c r="I1" s="126" t="s">
        <v>6</v>
      </c>
      <c r="J1" s="126" t="s">
        <v>7</v>
      </c>
      <c r="K1" s="126" t="s">
        <v>8</v>
      </c>
      <c r="L1" s="126" t="s">
        <v>9</v>
      </c>
      <c r="M1" s="126" t="s">
        <v>59</v>
      </c>
      <c r="N1" s="127" t="s">
        <v>90</v>
      </c>
      <c r="O1" s="127" t="s">
        <v>10</v>
      </c>
      <c r="P1" s="127" t="s">
        <v>36</v>
      </c>
      <c r="Q1" s="126" t="s">
        <v>11</v>
      </c>
      <c r="R1" s="126" t="s">
        <v>12</v>
      </c>
      <c r="S1" s="126" t="s">
        <v>58</v>
      </c>
      <c r="T1" s="126" t="s">
        <v>86</v>
      </c>
      <c r="U1" s="126" t="s">
        <v>93</v>
      </c>
      <c r="V1" s="126" t="s">
        <v>13</v>
      </c>
      <c r="W1" s="126" t="s">
        <v>65</v>
      </c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2:34" s="123" customFormat="1" ht="12.75">
      <c r="B2" s="124" t="s">
        <v>14</v>
      </c>
      <c r="C2" s="123" t="s">
        <v>15</v>
      </c>
      <c r="F2" s="125" t="s">
        <v>16</v>
      </c>
      <c r="G2" s="126"/>
      <c r="H2" s="126" t="s">
        <v>67</v>
      </c>
      <c r="I2" s="126" t="s">
        <v>17</v>
      </c>
      <c r="J2" s="126"/>
      <c r="K2" s="126" t="s">
        <v>18</v>
      </c>
      <c r="L2" s="126"/>
      <c r="M2" s="126" t="s">
        <v>19</v>
      </c>
      <c r="Q2" s="126" t="s">
        <v>64</v>
      </c>
      <c r="R2" s="126"/>
      <c r="S2" s="126"/>
      <c r="T2" s="126"/>
      <c r="U2" s="126"/>
      <c r="V2" s="126" t="s">
        <v>20</v>
      </c>
      <c r="W2" s="126" t="s">
        <v>32</v>
      </c>
      <c r="X2" s="18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16" s="132" customFormat="1" ht="24" customHeight="1">
      <c r="A3" s="128" t="s">
        <v>100</v>
      </c>
      <c r="B3" s="129"/>
      <c r="C3" s="130"/>
      <c r="D3" s="130"/>
      <c r="E3" s="130"/>
      <c r="F3" s="131"/>
      <c r="G3" s="130"/>
      <c r="H3" s="130"/>
      <c r="I3" s="130"/>
      <c r="J3" s="130"/>
      <c r="N3" s="133"/>
      <c r="O3" s="133"/>
      <c r="P3" s="133"/>
    </row>
    <row r="4" ht="12.75">
      <c r="X4" s="18">
        <f>F4-SUM(G4:W4)</f>
        <v>0</v>
      </c>
    </row>
    <row r="5" spans="1:24" ht="15">
      <c r="A5" s="27" t="s">
        <v>96</v>
      </c>
      <c r="B5" s="27" t="s">
        <v>80</v>
      </c>
      <c r="C5" s="18" t="s">
        <v>21</v>
      </c>
      <c r="D5" s="27" t="s">
        <v>22</v>
      </c>
      <c r="E5" s="27" t="s">
        <v>83</v>
      </c>
      <c r="F5" s="153">
        <v>509</v>
      </c>
      <c r="G5" s="28"/>
      <c r="Q5" s="18">
        <v>509</v>
      </c>
      <c r="X5" s="18">
        <f>F5-SUM(G5:W5)</f>
        <v>0</v>
      </c>
    </row>
    <row r="6" spans="1:24" ht="30">
      <c r="A6" s="27" t="s">
        <v>97</v>
      </c>
      <c r="B6" s="27" t="s">
        <v>80</v>
      </c>
      <c r="C6" s="18" t="s">
        <v>21</v>
      </c>
      <c r="D6" s="27" t="s">
        <v>71</v>
      </c>
      <c r="E6" s="27" t="s">
        <v>84</v>
      </c>
      <c r="F6" s="153">
        <v>61.68</v>
      </c>
      <c r="G6" s="28"/>
      <c r="H6" s="18">
        <v>61.68</v>
      </c>
      <c r="X6" s="18">
        <f aca="true" t="shared" si="0" ref="X6:X52">F6-SUM(G6:W6)</f>
        <v>0</v>
      </c>
    </row>
    <row r="7" spans="1:24" ht="15">
      <c r="A7" s="39" t="s">
        <v>97</v>
      </c>
      <c r="B7" s="27" t="s">
        <v>80</v>
      </c>
      <c r="C7" s="18" t="s">
        <v>21</v>
      </c>
      <c r="D7" s="27" t="s">
        <v>68</v>
      </c>
      <c r="E7" s="27" t="s">
        <v>69</v>
      </c>
      <c r="F7" s="153">
        <v>32.4</v>
      </c>
      <c r="G7" s="28"/>
      <c r="R7" s="18">
        <v>5.4</v>
      </c>
      <c r="W7" s="18">
        <v>27</v>
      </c>
      <c r="X7" s="18">
        <f t="shared" si="0"/>
        <v>0</v>
      </c>
    </row>
    <row r="8" spans="1:24" ht="15">
      <c r="A8" s="39" t="s">
        <v>97</v>
      </c>
      <c r="B8" s="27">
        <v>1199</v>
      </c>
      <c r="C8" s="18" t="s">
        <v>21</v>
      </c>
      <c r="D8" s="27" t="s">
        <v>62</v>
      </c>
      <c r="E8" s="27" t="s">
        <v>98</v>
      </c>
      <c r="F8" s="153">
        <v>452.5</v>
      </c>
      <c r="G8" s="28">
        <f>342.68-27.41-9.4</f>
        <v>305.87</v>
      </c>
      <c r="I8" s="18">
        <v>68.49</v>
      </c>
      <c r="J8" s="18">
        <v>72.9</v>
      </c>
      <c r="L8" s="18">
        <v>2.24</v>
      </c>
      <c r="M8" s="18">
        <v>3</v>
      </c>
      <c r="X8" s="18">
        <f t="shared" si="0"/>
        <v>0</v>
      </c>
    </row>
    <row r="9" spans="1:24" ht="15">
      <c r="A9" s="39" t="s">
        <v>97</v>
      </c>
      <c r="B9" s="27">
        <v>200</v>
      </c>
      <c r="C9" s="18" t="s">
        <v>21</v>
      </c>
      <c r="D9" s="27" t="s">
        <v>60</v>
      </c>
      <c r="E9" s="27" t="s">
        <v>83</v>
      </c>
      <c r="F9" s="153">
        <v>368.5</v>
      </c>
      <c r="G9" s="28"/>
      <c r="Q9" s="18">
        <v>368.5</v>
      </c>
      <c r="X9" s="18">
        <f t="shared" si="0"/>
        <v>0</v>
      </c>
    </row>
    <row r="10" spans="1:24" ht="15">
      <c r="A10" s="39" t="s">
        <v>97</v>
      </c>
      <c r="B10" s="27">
        <v>201</v>
      </c>
      <c r="C10" s="18" t="s">
        <v>21</v>
      </c>
      <c r="D10" s="27" t="s">
        <v>99</v>
      </c>
      <c r="E10" s="27" t="s">
        <v>89</v>
      </c>
      <c r="F10" s="153">
        <v>274.53</v>
      </c>
      <c r="G10" s="28"/>
      <c r="O10" s="18">
        <v>274.53</v>
      </c>
      <c r="X10" s="18">
        <f t="shared" si="0"/>
        <v>0</v>
      </c>
    </row>
    <row r="11" spans="1:24" ht="15">
      <c r="A11" s="39" t="s">
        <v>97</v>
      </c>
      <c r="B11" s="41">
        <v>202</v>
      </c>
      <c r="C11" s="18" t="s">
        <v>21</v>
      </c>
      <c r="D11" s="27" t="s">
        <v>85</v>
      </c>
      <c r="E11" s="27" t="s">
        <v>86</v>
      </c>
      <c r="F11" s="153">
        <v>487.3</v>
      </c>
      <c r="G11" s="28"/>
      <c r="T11" s="18">
        <v>487.3</v>
      </c>
      <c r="X11" s="18">
        <f t="shared" si="0"/>
        <v>0</v>
      </c>
    </row>
    <row r="12" spans="4:24" ht="15">
      <c r="D12" s="27"/>
      <c r="E12" s="27"/>
      <c r="F12" s="29"/>
      <c r="X12" s="18">
        <f t="shared" si="0"/>
        <v>0</v>
      </c>
    </row>
    <row r="13" spans="1:24" s="141" customFormat="1" ht="12.75">
      <c r="A13" s="141" t="s">
        <v>78</v>
      </c>
      <c r="B13" s="142"/>
      <c r="E13" s="141" t="s">
        <v>23</v>
      </c>
      <c r="F13" s="143">
        <f aca="true" t="shared" si="1" ref="F13:W13">SUM(F5:F12)</f>
        <v>2185.91</v>
      </c>
      <c r="G13" s="143">
        <f t="shared" si="1"/>
        <v>305.87</v>
      </c>
      <c r="H13" s="143">
        <f t="shared" si="1"/>
        <v>61.68</v>
      </c>
      <c r="I13" s="143">
        <f t="shared" si="1"/>
        <v>68.49</v>
      </c>
      <c r="J13" s="143">
        <f t="shared" si="1"/>
        <v>72.9</v>
      </c>
      <c r="K13" s="143">
        <f t="shared" si="1"/>
        <v>0</v>
      </c>
      <c r="L13" s="143">
        <f t="shared" si="1"/>
        <v>2.24</v>
      </c>
      <c r="M13" s="143">
        <f t="shared" si="1"/>
        <v>3</v>
      </c>
      <c r="N13" s="143">
        <f t="shared" si="1"/>
        <v>0</v>
      </c>
      <c r="O13" s="143">
        <f t="shared" si="1"/>
        <v>274.53</v>
      </c>
      <c r="P13" s="143">
        <f t="shared" si="1"/>
        <v>0</v>
      </c>
      <c r="Q13" s="143">
        <f t="shared" si="1"/>
        <v>877.5</v>
      </c>
      <c r="R13" s="143">
        <f t="shared" si="1"/>
        <v>5.4</v>
      </c>
      <c r="S13" s="143">
        <f t="shared" si="1"/>
        <v>0</v>
      </c>
      <c r="T13" s="143">
        <f t="shared" si="1"/>
        <v>487.3</v>
      </c>
      <c r="U13" s="143">
        <f t="shared" si="1"/>
        <v>0</v>
      </c>
      <c r="V13" s="143">
        <f t="shared" si="1"/>
        <v>0</v>
      </c>
      <c r="W13" s="143">
        <f t="shared" si="1"/>
        <v>27</v>
      </c>
      <c r="X13" s="143"/>
    </row>
    <row r="14" ht="12.75">
      <c r="X14" s="18">
        <f t="shared" si="0"/>
        <v>0</v>
      </c>
    </row>
    <row r="15" spans="1:24" ht="15">
      <c r="A15" s="27" t="s">
        <v>102</v>
      </c>
      <c r="B15" s="27" t="s">
        <v>72</v>
      </c>
      <c r="C15" s="18" t="s">
        <v>21</v>
      </c>
      <c r="D15" s="27" t="s">
        <v>22</v>
      </c>
      <c r="E15" s="27" t="s">
        <v>83</v>
      </c>
      <c r="F15" s="153">
        <v>509</v>
      </c>
      <c r="G15" s="28"/>
      <c r="Q15" s="18">
        <v>509</v>
      </c>
      <c r="X15" s="18">
        <f t="shared" si="0"/>
        <v>0</v>
      </c>
    </row>
    <row r="16" spans="1:24" ht="30">
      <c r="A16" s="27" t="s">
        <v>103</v>
      </c>
      <c r="B16" s="27" t="s">
        <v>80</v>
      </c>
      <c r="C16" s="18" t="s">
        <v>21</v>
      </c>
      <c r="D16" s="27" t="s">
        <v>71</v>
      </c>
      <c r="E16" s="27" t="s">
        <v>84</v>
      </c>
      <c r="F16" s="153">
        <v>62.91</v>
      </c>
      <c r="G16" s="28"/>
      <c r="H16" s="18">
        <v>62.91</v>
      </c>
      <c r="X16" s="18">
        <f t="shared" si="0"/>
        <v>0</v>
      </c>
    </row>
    <row r="17" spans="1:24" ht="15">
      <c r="A17" s="39" t="s">
        <v>103</v>
      </c>
      <c r="B17" s="27">
        <v>1203</v>
      </c>
      <c r="D17" s="27" t="s">
        <v>62</v>
      </c>
      <c r="E17" s="27" t="s">
        <v>98</v>
      </c>
      <c r="F17" s="153">
        <v>401.7</v>
      </c>
      <c r="G17" s="28">
        <f>349.52-27.95+9.4</f>
        <v>330.96999999999997</v>
      </c>
      <c r="I17" s="18">
        <v>70.73</v>
      </c>
      <c r="X17" s="18">
        <f t="shared" si="0"/>
        <v>0</v>
      </c>
    </row>
    <row r="18" spans="1:24" ht="15">
      <c r="A18" s="39" t="s">
        <v>103</v>
      </c>
      <c r="B18" s="27">
        <v>1204</v>
      </c>
      <c r="D18" s="27" t="s">
        <v>104</v>
      </c>
      <c r="E18" s="27" t="s">
        <v>105</v>
      </c>
      <c r="F18" s="153">
        <v>350</v>
      </c>
      <c r="G18" s="28"/>
      <c r="U18" s="18">
        <v>350</v>
      </c>
      <c r="X18" s="18">
        <f t="shared" si="0"/>
        <v>0</v>
      </c>
    </row>
    <row r="19" spans="1:24" ht="15">
      <c r="A19" s="40"/>
      <c r="B19" s="27"/>
      <c r="D19" s="27"/>
      <c r="E19" s="27"/>
      <c r="F19" s="28"/>
      <c r="G19" s="28"/>
      <c r="X19" s="18">
        <f t="shared" si="0"/>
        <v>0</v>
      </c>
    </row>
    <row r="20" ht="12.75">
      <c r="X20" s="18">
        <f t="shared" si="0"/>
        <v>0</v>
      </c>
    </row>
    <row r="21" ht="12.75">
      <c r="X21" s="18">
        <f t="shared" si="0"/>
        <v>0</v>
      </c>
    </row>
    <row r="22" spans="1:24" s="141" customFormat="1" ht="12.75">
      <c r="A22" s="141" t="s">
        <v>77</v>
      </c>
      <c r="B22" s="142"/>
      <c r="E22" s="141" t="s">
        <v>23</v>
      </c>
      <c r="F22" s="143">
        <f>SUM(F15:F21)</f>
        <v>1323.61</v>
      </c>
      <c r="G22" s="143">
        <f aca="true" t="shared" si="2" ref="G22:W22">SUM(G15:G21)</f>
        <v>330.96999999999997</v>
      </c>
      <c r="H22" s="143">
        <f t="shared" si="2"/>
        <v>62.91</v>
      </c>
      <c r="I22" s="143">
        <f t="shared" si="2"/>
        <v>70.73</v>
      </c>
      <c r="J22" s="143">
        <f t="shared" si="2"/>
        <v>0</v>
      </c>
      <c r="K22" s="143">
        <f t="shared" si="2"/>
        <v>0</v>
      </c>
      <c r="L22" s="143">
        <f t="shared" si="2"/>
        <v>0</v>
      </c>
      <c r="M22" s="143">
        <f t="shared" si="2"/>
        <v>0</v>
      </c>
      <c r="N22" s="143">
        <f t="shared" si="2"/>
        <v>0</v>
      </c>
      <c r="O22" s="143">
        <f t="shared" si="2"/>
        <v>0</v>
      </c>
      <c r="P22" s="143">
        <f t="shared" si="2"/>
        <v>0</v>
      </c>
      <c r="Q22" s="143">
        <f t="shared" si="2"/>
        <v>509</v>
      </c>
      <c r="R22" s="143">
        <f t="shared" si="2"/>
        <v>0</v>
      </c>
      <c r="S22" s="143">
        <f t="shared" si="2"/>
        <v>0</v>
      </c>
      <c r="T22" s="143">
        <f t="shared" si="2"/>
        <v>0</v>
      </c>
      <c r="U22" s="143">
        <f t="shared" si="2"/>
        <v>350</v>
      </c>
      <c r="V22" s="143">
        <f t="shared" si="2"/>
        <v>0</v>
      </c>
      <c r="W22" s="143">
        <f t="shared" si="2"/>
        <v>0</v>
      </c>
      <c r="X22" s="143"/>
    </row>
    <row r="23" ht="12.75">
      <c r="X23" s="18">
        <f t="shared" si="0"/>
        <v>0</v>
      </c>
    </row>
    <row r="24" spans="1:24" ht="15">
      <c r="A24" s="27" t="s">
        <v>114</v>
      </c>
      <c r="B24" s="27" t="s">
        <v>72</v>
      </c>
      <c r="C24" s="18" t="s">
        <v>21</v>
      </c>
      <c r="D24" s="27" t="s">
        <v>22</v>
      </c>
      <c r="E24" s="27" t="s">
        <v>83</v>
      </c>
      <c r="F24" s="153">
        <v>509</v>
      </c>
      <c r="Q24" s="18">
        <v>509</v>
      </c>
      <c r="X24" s="18">
        <f t="shared" si="0"/>
        <v>0</v>
      </c>
    </row>
    <row r="25" spans="1:24" ht="15">
      <c r="A25" s="27" t="s">
        <v>119</v>
      </c>
      <c r="B25" s="27" t="s">
        <v>80</v>
      </c>
      <c r="C25" s="18" t="s">
        <v>21</v>
      </c>
      <c r="D25" s="27" t="s">
        <v>68</v>
      </c>
      <c r="E25" s="27" t="s">
        <v>69</v>
      </c>
      <c r="F25" s="153">
        <v>88.2</v>
      </c>
      <c r="R25" s="18">
        <v>14.7</v>
      </c>
      <c r="W25" s="18">
        <v>73.5</v>
      </c>
      <c r="X25" s="18">
        <f t="shared" si="0"/>
        <v>0</v>
      </c>
    </row>
    <row r="26" spans="24:26" ht="12.75">
      <c r="X26" s="18">
        <f t="shared" si="0"/>
        <v>0</v>
      </c>
      <c r="Z26" s="134"/>
    </row>
    <row r="27" spans="1:24" s="141" customFormat="1" ht="12.75">
      <c r="A27" s="141" t="s">
        <v>76</v>
      </c>
      <c r="B27" s="142"/>
      <c r="E27" s="141" t="s">
        <v>23</v>
      </c>
      <c r="F27" s="143">
        <f>SUM(F24:F26)</f>
        <v>597.2</v>
      </c>
      <c r="G27" s="143">
        <f aca="true" t="shared" si="3" ref="G27:W27">SUM(G24:G26)</f>
        <v>0</v>
      </c>
      <c r="H27" s="143">
        <f t="shared" si="3"/>
        <v>0</v>
      </c>
      <c r="I27" s="143">
        <f t="shared" si="3"/>
        <v>0</v>
      </c>
      <c r="J27" s="143">
        <f t="shared" si="3"/>
        <v>0</v>
      </c>
      <c r="K27" s="143">
        <f t="shared" si="3"/>
        <v>0</v>
      </c>
      <c r="L27" s="143">
        <f t="shared" si="3"/>
        <v>0</v>
      </c>
      <c r="M27" s="143">
        <f t="shared" si="3"/>
        <v>0</v>
      </c>
      <c r="N27" s="143">
        <f t="shared" si="3"/>
        <v>0</v>
      </c>
      <c r="O27" s="143">
        <f t="shared" si="3"/>
        <v>0</v>
      </c>
      <c r="P27" s="143">
        <f t="shared" si="3"/>
        <v>0</v>
      </c>
      <c r="Q27" s="143">
        <f t="shared" si="3"/>
        <v>509</v>
      </c>
      <c r="R27" s="143">
        <f t="shared" si="3"/>
        <v>14.7</v>
      </c>
      <c r="S27" s="143">
        <f t="shared" si="3"/>
        <v>0</v>
      </c>
      <c r="T27" s="143">
        <f t="shared" si="3"/>
        <v>0</v>
      </c>
      <c r="U27" s="143">
        <f t="shared" si="3"/>
        <v>0</v>
      </c>
      <c r="V27" s="143">
        <f t="shared" si="3"/>
        <v>0</v>
      </c>
      <c r="W27" s="143">
        <f t="shared" si="3"/>
        <v>73.5</v>
      </c>
      <c r="X27" s="141">
        <f t="shared" si="0"/>
        <v>0</v>
      </c>
    </row>
    <row r="28" ht="12.75">
      <c r="X28" s="18">
        <f t="shared" si="0"/>
        <v>0</v>
      </c>
    </row>
    <row r="29" spans="1:24" ht="15">
      <c r="A29" s="27" t="s">
        <v>129</v>
      </c>
      <c r="B29" s="27" t="s">
        <v>56</v>
      </c>
      <c r="C29" s="18" t="s">
        <v>21</v>
      </c>
      <c r="D29" s="27" t="s">
        <v>22</v>
      </c>
      <c r="E29" s="27" t="s">
        <v>83</v>
      </c>
      <c r="F29" s="153">
        <v>509</v>
      </c>
      <c r="G29" s="28"/>
      <c r="Q29" s="18">
        <v>509</v>
      </c>
      <c r="X29" s="18">
        <f t="shared" si="0"/>
        <v>0</v>
      </c>
    </row>
    <row r="30" spans="1:24" ht="30">
      <c r="A30" s="27" t="s">
        <v>125</v>
      </c>
      <c r="B30" s="27" t="s">
        <v>80</v>
      </c>
      <c r="C30" s="18" t="s">
        <v>21</v>
      </c>
      <c r="D30" s="27" t="s">
        <v>71</v>
      </c>
      <c r="E30" s="27" t="s">
        <v>84</v>
      </c>
      <c r="F30" s="153">
        <v>62.91</v>
      </c>
      <c r="G30" s="28"/>
      <c r="H30" s="18">
        <v>62.91</v>
      </c>
      <c r="X30" s="18">
        <f t="shared" si="0"/>
        <v>0</v>
      </c>
    </row>
    <row r="31" spans="1:24" ht="15">
      <c r="A31" s="42" t="s">
        <v>126</v>
      </c>
      <c r="B31" s="27">
        <v>1205</v>
      </c>
      <c r="C31" s="18" t="s">
        <v>21</v>
      </c>
      <c r="D31" s="27" t="s">
        <v>62</v>
      </c>
      <c r="E31" s="27" t="s">
        <v>98</v>
      </c>
      <c r="F31" s="153">
        <v>396.54</v>
      </c>
      <c r="G31" s="28">
        <f>349.52-27.95</f>
        <v>321.57</v>
      </c>
      <c r="I31" s="18">
        <v>68.49</v>
      </c>
      <c r="L31" s="18">
        <v>4.48</v>
      </c>
      <c r="M31" s="18">
        <v>2</v>
      </c>
      <c r="X31" s="18">
        <f t="shared" si="0"/>
        <v>0</v>
      </c>
    </row>
    <row r="32" spans="1:24" ht="15">
      <c r="A32" s="42" t="s">
        <v>126</v>
      </c>
      <c r="B32" s="27">
        <v>1206</v>
      </c>
      <c r="C32" s="18" t="s">
        <v>21</v>
      </c>
      <c r="D32" s="27" t="s">
        <v>60</v>
      </c>
      <c r="E32" s="27" t="s">
        <v>127</v>
      </c>
      <c r="F32" s="153">
        <v>368.5</v>
      </c>
      <c r="G32" s="28"/>
      <c r="Q32" s="18">
        <v>368.5</v>
      </c>
      <c r="X32" s="18">
        <f t="shared" si="0"/>
        <v>0</v>
      </c>
    </row>
    <row r="33" spans="1:23" ht="15">
      <c r="A33" s="42" t="s">
        <v>128</v>
      </c>
      <c r="B33" s="27" t="s">
        <v>80</v>
      </c>
      <c r="C33" s="18" t="s">
        <v>21</v>
      </c>
      <c r="D33" s="27" t="s">
        <v>68</v>
      </c>
      <c r="E33" s="27" t="s">
        <v>69</v>
      </c>
      <c r="F33" s="153">
        <v>45</v>
      </c>
      <c r="R33" s="153">
        <v>7.5</v>
      </c>
      <c r="W33" s="18">
        <v>37.5</v>
      </c>
    </row>
    <row r="34" spans="1:24" ht="15">
      <c r="A34" s="42" t="s">
        <v>126</v>
      </c>
      <c r="B34" s="27">
        <v>1207</v>
      </c>
      <c r="C34" s="18" t="s">
        <v>21</v>
      </c>
      <c r="D34" s="27" t="s">
        <v>130</v>
      </c>
      <c r="E34" s="27" t="s">
        <v>131</v>
      </c>
      <c r="F34" s="153">
        <v>21579.31</v>
      </c>
      <c r="G34" s="28"/>
      <c r="R34" s="18">
        <v>3596.55</v>
      </c>
      <c r="V34" s="18">
        <v>17982.76</v>
      </c>
      <c r="X34" s="18">
        <f t="shared" si="0"/>
        <v>0</v>
      </c>
    </row>
    <row r="35" spans="1:24" ht="30">
      <c r="A35" s="42" t="s">
        <v>126</v>
      </c>
      <c r="B35" s="27" t="s">
        <v>70</v>
      </c>
      <c r="C35" s="18" t="s">
        <v>21</v>
      </c>
      <c r="D35" s="27" t="s">
        <v>71</v>
      </c>
      <c r="E35" s="27" t="s">
        <v>84</v>
      </c>
      <c r="F35" s="153">
        <v>62.91</v>
      </c>
      <c r="G35" s="28"/>
      <c r="H35" s="18">
        <v>62.91</v>
      </c>
      <c r="X35" s="18">
        <f>F35-SUM(G35:W35)</f>
        <v>0</v>
      </c>
    </row>
    <row r="36" spans="1:7" ht="15">
      <c r="A36" s="42"/>
      <c r="B36" s="27"/>
      <c r="D36" s="27"/>
      <c r="E36" s="27"/>
      <c r="F36" s="28"/>
      <c r="G36" s="28"/>
    </row>
    <row r="37" spans="1:24" s="141" customFormat="1" ht="12.75">
      <c r="A37" s="141" t="s">
        <v>75</v>
      </c>
      <c r="B37" s="142"/>
      <c r="E37" s="141" t="s">
        <v>23</v>
      </c>
      <c r="F37" s="143">
        <f aca="true" t="shared" si="4" ref="F37:X37">SUM(F29:F36)</f>
        <v>23024.170000000002</v>
      </c>
      <c r="G37" s="143">
        <f t="shared" si="4"/>
        <v>321.57</v>
      </c>
      <c r="H37" s="143">
        <f t="shared" si="4"/>
        <v>125.82</v>
      </c>
      <c r="I37" s="143">
        <f t="shared" si="4"/>
        <v>68.49</v>
      </c>
      <c r="J37" s="143">
        <f t="shared" si="4"/>
        <v>0</v>
      </c>
      <c r="K37" s="143">
        <f t="shared" si="4"/>
        <v>0</v>
      </c>
      <c r="L37" s="143">
        <f t="shared" si="4"/>
        <v>4.48</v>
      </c>
      <c r="M37" s="143">
        <f t="shared" si="4"/>
        <v>2</v>
      </c>
      <c r="N37" s="143">
        <f t="shared" si="4"/>
        <v>0</v>
      </c>
      <c r="O37" s="143">
        <f t="shared" si="4"/>
        <v>0</v>
      </c>
      <c r="P37" s="143">
        <f t="shared" si="4"/>
        <v>0</v>
      </c>
      <c r="Q37" s="143">
        <f t="shared" si="4"/>
        <v>877.5</v>
      </c>
      <c r="R37" s="143">
        <f t="shared" si="4"/>
        <v>3604.05</v>
      </c>
      <c r="S37" s="143">
        <f t="shared" si="4"/>
        <v>0</v>
      </c>
      <c r="T37" s="143">
        <f t="shared" si="4"/>
        <v>0</v>
      </c>
      <c r="U37" s="143">
        <f t="shared" si="4"/>
        <v>0</v>
      </c>
      <c r="V37" s="143">
        <f t="shared" si="4"/>
        <v>17982.76</v>
      </c>
      <c r="W37" s="143">
        <f t="shared" si="4"/>
        <v>37.5</v>
      </c>
      <c r="X37" s="143">
        <f t="shared" si="4"/>
        <v>0</v>
      </c>
    </row>
    <row r="38" ht="12.75">
      <c r="X38" s="18">
        <f>G38-SUM(H38:W38)</f>
        <v>0</v>
      </c>
    </row>
    <row r="39" ht="12.75">
      <c r="X39" s="18">
        <f>G39-SUM(H39:W39)</f>
        <v>0</v>
      </c>
    </row>
    <row r="40" ht="12.75">
      <c r="X40" s="18">
        <f t="shared" si="0"/>
        <v>0</v>
      </c>
    </row>
    <row r="41" spans="1:24" ht="15">
      <c r="A41" s="27" t="s">
        <v>121</v>
      </c>
      <c r="B41" s="27" t="s">
        <v>56</v>
      </c>
      <c r="C41" s="18" t="s">
        <v>21</v>
      </c>
      <c r="D41" s="27" t="s">
        <v>22</v>
      </c>
      <c r="E41" s="27" t="s">
        <v>83</v>
      </c>
      <c r="F41" s="153">
        <v>509</v>
      </c>
      <c r="Q41" s="18">
        <v>509</v>
      </c>
      <c r="X41" s="18">
        <f>F41-SUM(G41:W41)</f>
        <v>0</v>
      </c>
    </row>
    <row r="42" spans="1:24" ht="30">
      <c r="A42" s="27"/>
      <c r="B42" s="27" t="s">
        <v>80</v>
      </c>
      <c r="C42" s="18" t="s">
        <v>21</v>
      </c>
      <c r="D42" s="27" t="s">
        <v>71</v>
      </c>
      <c r="E42" s="27" t="s">
        <v>84</v>
      </c>
      <c r="F42" s="153">
        <v>62.91</v>
      </c>
      <c r="H42" s="18">
        <v>62.91</v>
      </c>
      <c r="X42" s="18">
        <f>F42-SUM(G42:W42)</f>
        <v>0</v>
      </c>
    </row>
    <row r="43" spans="1:24" ht="15">
      <c r="A43" s="42" t="s">
        <v>122</v>
      </c>
      <c r="B43" s="27">
        <v>1208</v>
      </c>
      <c r="C43" s="18" t="s">
        <v>21</v>
      </c>
      <c r="D43" s="27" t="s">
        <v>62</v>
      </c>
      <c r="E43" s="27" t="s">
        <v>63</v>
      </c>
      <c r="F43" s="153">
        <v>407.13</v>
      </c>
      <c r="G43" s="18">
        <f>349.52-27.96</f>
        <v>321.56</v>
      </c>
      <c r="I43" s="18">
        <v>85.57</v>
      </c>
      <c r="X43" s="18">
        <f>F43-SUM(G43:W43)</f>
        <v>0</v>
      </c>
    </row>
    <row r="44" spans="1:24" ht="15">
      <c r="A44" s="42" t="s">
        <v>122</v>
      </c>
      <c r="B44" s="27">
        <v>1209</v>
      </c>
      <c r="C44" s="18" t="s">
        <v>21</v>
      </c>
      <c r="D44" s="27" t="s">
        <v>123</v>
      </c>
      <c r="E44" s="27" t="s">
        <v>124</v>
      </c>
      <c r="F44" s="153">
        <v>264</v>
      </c>
      <c r="U44" s="18">
        <v>264</v>
      </c>
      <c r="X44" s="18">
        <f>F44-SUM(G44:W44)</f>
        <v>0</v>
      </c>
    </row>
    <row r="45" ht="12.75">
      <c r="F45" s="18"/>
    </row>
    <row r="46" ht="12.75">
      <c r="X46" s="18">
        <f t="shared" si="0"/>
        <v>0</v>
      </c>
    </row>
    <row r="47" spans="1:24" s="144" customFormat="1" ht="12.75">
      <c r="A47" s="144" t="s">
        <v>74</v>
      </c>
      <c r="B47" s="145"/>
      <c r="E47" s="144" t="s">
        <v>23</v>
      </c>
      <c r="F47" s="146">
        <f>SUM(F41:F46)</f>
        <v>1243.04</v>
      </c>
      <c r="G47" s="146">
        <f aca="true" t="shared" si="5" ref="G47:W47">SUM(G41:G46)</f>
        <v>321.56</v>
      </c>
      <c r="H47" s="146">
        <f t="shared" si="5"/>
        <v>62.91</v>
      </c>
      <c r="I47" s="146">
        <f t="shared" si="5"/>
        <v>85.57</v>
      </c>
      <c r="J47" s="146">
        <f t="shared" si="5"/>
        <v>0</v>
      </c>
      <c r="K47" s="146">
        <f t="shared" si="5"/>
        <v>0</v>
      </c>
      <c r="L47" s="146">
        <f t="shared" si="5"/>
        <v>0</v>
      </c>
      <c r="M47" s="146">
        <f t="shared" si="5"/>
        <v>0</v>
      </c>
      <c r="N47" s="146">
        <f t="shared" si="5"/>
        <v>0</v>
      </c>
      <c r="O47" s="146">
        <f t="shared" si="5"/>
        <v>0</v>
      </c>
      <c r="P47" s="146">
        <f t="shared" si="5"/>
        <v>0</v>
      </c>
      <c r="Q47" s="146">
        <f t="shared" si="5"/>
        <v>509</v>
      </c>
      <c r="R47" s="146">
        <f t="shared" si="5"/>
        <v>0</v>
      </c>
      <c r="S47" s="146">
        <f t="shared" si="5"/>
        <v>0</v>
      </c>
      <c r="T47" s="146">
        <f t="shared" si="5"/>
        <v>0</v>
      </c>
      <c r="U47" s="146">
        <f t="shared" si="5"/>
        <v>264</v>
      </c>
      <c r="V47" s="146">
        <f t="shared" si="5"/>
        <v>0</v>
      </c>
      <c r="W47" s="146">
        <f t="shared" si="5"/>
        <v>0</v>
      </c>
      <c r="X47" s="141">
        <f t="shared" si="0"/>
        <v>0</v>
      </c>
    </row>
    <row r="48" ht="12.75">
      <c r="X48" s="18">
        <f t="shared" si="0"/>
        <v>0</v>
      </c>
    </row>
    <row r="49" spans="1:24" ht="15">
      <c r="A49" s="27"/>
      <c r="B49" s="27"/>
      <c r="C49" s="27"/>
      <c r="D49" s="27"/>
      <c r="E49" s="27"/>
      <c r="F49" s="27"/>
      <c r="X49" s="18">
        <f t="shared" si="0"/>
        <v>0</v>
      </c>
    </row>
    <row r="50" spans="1:24" ht="15">
      <c r="A50" s="27" t="s">
        <v>139</v>
      </c>
      <c r="B50" s="27" t="s">
        <v>56</v>
      </c>
      <c r="C50" s="18" t="s">
        <v>21</v>
      </c>
      <c r="D50" s="27" t="s">
        <v>22</v>
      </c>
      <c r="E50" s="27" t="s">
        <v>83</v>
      </c>
      <c r="F50" s="153">
        <v>509</v>
      </c>
      <c r="G50" s="28"/>
      <c r="Q50" s="18">
        <v>509</v>
      </c>
      <c r="X50" s="18">
        <f t="shared" si="0"/>
        <v>0</v>
      </c>
    </row>
    <row r="51" spans="1:24" ht="30">
      <c r="A51" s="27"/>
      <c r="B51" s="27" t="s">
        <v>80</v>
      </c>
      <c r="C51" s="18" t="s">
        <v>21</v>
      </c>
      <c r="D51" s="27" t="s">
        <v>71</v>
      </c>
      <c r="E51" s="27" t="s">
        <v>84</v>
      </c>
      <c r="F51" s="153">
        <v>60.88</v>
      </c>
      <c r="G51" s="28"/>
      <c r="H51" s="18">
        <v>60.88</v>
      </c>
      <c r="X51" s="18">
        <f t="shared" si="0"/>
        <v>0</v>
      </c>
    </row>
    <row r="52" spans="1:24" ht="15">
      <c r="A52" s="42" t="s">
        <v>140</v>
      </c>
      <c r="B52" s="27">
        <v>1210</v>
      </c>
      <c r="C52" s="18" t="s">
        <v>21</v>
      </c>
      <c r="D52" s="27" t="s">
        <v>62</v>
      </c>
      <c r="E52" s="27" t="s">
        <v>63</v>
      </c>
      <c r="F52" s="153">
        <v>410.97</v>
      </c>
      <c r="G52" s="28">
        <f>338.25-27.06</f>
        <v>311.19</v>
      </c>
      <c r="I52" s="18">
        <f>55+16.75+13.49</f>
        <v>85.24</v>
      </c>
      <c r="K52" s="18">
        <v>12.3</v>
      </c>
      <c r="L52" s="18">
        <v>2.24</v>
      </c>
      <c r="X52" s="18">
        <f t="shared" si="0"/>
        <v>0</v>
      </c>
    </row>
    <row r="53" spans="1:24" ht="30">
      <c r="A53" s="42" t="s">
        <v>140</v>
      </c>
      <c r="B53" s="27">
        <v>1211</v>
      </c>
      <c r="C53" s="18" t="s">
        <v>21</v>
      </c>
      <c r="D53" s="27" t="s">
        <v>81</v>
      </c>
      <c r="E53" s="27" t="s">
        <v>141</v>
      </c>
      <c r="F53" s="153">
        <v>720</v>
      </c>
      <c r="R53" s="153">
        <v>120</v>
      </c>
      <c r="V53" s="18">
        <v>600</v>
      </c>
      <c r="X53" s="18">
        <f>F53-SUM(H53:W53)</f>
        <v>0</v>
      </c>
    </row>
    <row r="54" spans="1:24" ht="15">
      <c r="A54" s="42" t="s">
        <v>145</v>
      </c>
      <c r="B54" s="27" t="s">
        <v>80</v>
      </c>
      <c r="C54" s="18" t="s">
        <v>21</v>
      </c>
      <c r="D54" s="27" t="s">
        <v>68</v>
      </c>
      <c r="E54" s="27" t="s">
        <v>69</v>
      </c>
      <c r="F54" s="153">
        <v>39.6</v>
      </c>
      <c r="R54" s="153">
        <v>6.6</v>
      </c>
      <c r="V54" s="151"/>
      <c r="W54" s="18">
        <v>33</v>
      </c>
      <c r="X54" s="18">
        <f>F54-SUM(H54:W54)</f>
        <v>0</v>
      </c>
    </row>
    <row r="55" spans="1:24" ht="15">
      <c r="A55" s="42" t="s">
        <v>192</v>
      </c>
      <c r="B55" s="27" t="s">
        <v>80</v>
      </c>
      <c r="C55" s="18" t="s">
        <v>21</v>
      </c>
      <c r="D55" s="27" t="s">
        <v>68</v>
      </c>
      <c r="E55" s="27" t="s">
        <v>69</v>
      </c>
      <c r="F55" s="153">
        <v>46.08</v>
      </c>
      <c r="R55" s="153">
        <v>7.68</v>
      </c>
      <c r="V55" s="151"/>
      <c r="W55" s="18">
        <v>38.4</v>
      </c>
      <c r="X55" s="18">
        <f>F55-SUM(H55:W55)</f>
        <v>0</v>
      </c>
    </row>
    <row r="56" spans="1:24" ht="15">
      <c r="A56" s="42" t="s">
        <v>140</v>
      </c>
      <c r="B56" s="27">
        <v>1212</v>
      </c>
      <c r="C56" s="18" t="s">
        <v>21</v>
      </c>
      <c r="D56" s="27" t="s">
        <v>142</v>
      </c>
      <c r="E56" s="27" t="s">
        <v>82</v>
      </c>
      <c r="F56" s="153">
        <v>240</v>
      </c>
      <c r="R56" s="153">
        <v>40</v>
      </c>
      <c r="V56" s="18">
        <v>200</v>
      </c>
      <c r="X56" s="18">
        <f>F56-SUM(H56:W56)</f>
        <v>0</v>
      </c>
    </row>
    <row r="57" spans="1:24" ht="12.75">
      <c r="A57" s="20"/>
      <c r="B57" s="25"/>
      <c r="C57" s="20"/>
      <c r="D57" s="20"/>
      <c r="E57" s="21"/>
      <c r="F57" s="31"/>
      <c r="X57" s="18">
        <f>F57-SUM(G57:W57)</f>
        <v>0</v>
      </c>
    </row>
    <row r="58" spans="1:24" s="141" customFormat="1" ht="12.75">
      <c r="A58" s="141" t="s">
        <v>79</v>
      </c>
      <c r="B58" s="142"/>
      <c r="E58" s="141" t="s">
        <v>23</v>
      </c>
      <c r="F58" s="143">
        <f>SUM(F48:F57)</f>
        <v>2026.5299999999997</v>
      </c>
      <c r="G58" s="143">
        <f aca="true" t="shared" si="6" ref="G58:W58">SUM(G48:G57)</f>
        <v>311.19</v>
      </c>
      <c r="H58" s="143">
        <f t="shared" si="6"/>
        <v>60.88</v>
      </c>
      <c r="I58" s="143">
        <f t="shared" si="6"/>
        <v>85.24</v>
      </c>
      <c r="J58" s="143">
        <f t="shared" si="6"/>
        <v>0</v>
      </c>
      <c r="K58" s="143">
        <f t="shared" si="6"/>
        <v>12.3</v>
      </c>
      <c r="L58" s="143">
        <f t="shared" si="6"/>
        <v>2.24</v>
      </c>
      <c r="M58" s="143">
        <f t="shared" si="6"/>
        <v>0</v>
      </c>
      <c r="N58" s="143">
        <f t="shared" si="6"/>
        <v>0</v>
      </c>
      <c r="O58" s="143">
        <f t="shared" si="6"/>
        <v>0</v>
      </c>
      <c r="P58" s="143">
        <f t="shared" si="6"/>
        <v>0</v>
      </c>
      <c r="Q58" s="143">
        <f t="shared" si="6"/>
        <v>509</v>
      </c>
      <c r="R58" s="143">
        <f t="shared" si="6"/>
        <v>174.28</v>
      </c>
      <c r="S58" s="143">
        <f t="shared" si="6"/>
        <v>0</v>
      </c>
      <c r="T58" s="143">
        <f t="shared" si="6"/>
        <v>0</v>
      </c>
      <c r="U58" s="143">
        <f t="shared" si="6"/>
        <v>0</v>
      </c>
      <c r="V58" s="143">
        <f t="shared" si="6"/>
        <v>800</v>
      </c>
      <c r="W58" s="143">
        <f t="shared" si="6"/>
        <v>71.4</v>
      </c>
      <c r="X58" s="143"/>
    </row>
    <row r="59" ht="12.75">
      <c r="X59" s="18">
        <f aca="true" t="shared" si="7" ref="X59:X90">F59-SUM(G59:W59)</f>
        <v>0</v>
      </c>
    </row>
    <row r="60" spans="1:24" ht="15">
      <c r="A60" s="27" t="s">
        <v>175</v>
      </c>
      <c r="B60" s="27" t="s">
        <v>56</v>
      </c>
      <c r="D60" s="27" t="s">
        <v>22</v>
      </c>
      <c r="E60" s="27" t="s">
        <v>83</v>
      </c>
      <c r="F60" s="153">
        <v>509</v>
      </c>
      <c r="Q60" s="18">
        <v>509</v>
      </c>
      <c r="R60" s="28" t="s">
        <v>176</v>
      </c>
      <c r="X60" s="18">
        <f t="shared" si="7"/>
        <v>0</v>
      </c>
    </row>
    <row r="61" spans="1:24" ht="30">
      <c r="A61" s="27"/>
      <c r="B61" s="27" t="s">
        <v>80</v>
      </c>
      <c r="D61" s="27" t="s">
        <v>71</v>
      </c>
      <c r="E61" s="27" t="s">
        <v>84</v>
      </c>
      <c r="F61" s="153">
        <v>62.91</v>
      </c>
      <c r="H61" s="18">
        <v>62.91</v>
      </c>
      <c r="R61" s="28" t="s">
        <v>176</v>
      </c>
      <c r="X61" s="18">
        <f t="shared" si="7"/>
        <v>0</v>
      </c>
    </row>
    <row r="62" spans="1:24" ht="15">
      <c r="A62" s="42" t="s">
        <v>172</v>
      </c>
      <c r="B62" s="27">
        <v>1213</v>
      </c>
      <c r="C62" s="18" t="s">
        <v>21</v>
      </c>
      <c r="D62" s="27" t="s">
        <v>62</v>
      </c>
      <c r="E62" s="27" t="s">
        <v>63</v>
      </c>
      <c r="F62" s="153">
        <v>409.56</v>
      </c>
      <c r="G62" s="18">
        <f>349.52-27.96</f>
        <v>321.56</v>
      </c>
      <c r="I62" s="18">
        <v>68.5</v>
      </c>
      <c r="K62" s="18">
        <v>8.66</v>
      </c>
      <c r="L62" s="18">
        <v>7.84</v>
      </c>
      <c r="M62" s="18">
        <v>3</v>
      </c>
      <c r="R62" s="28" t="s">
        <v>176</v>
      </c>
      <c r="X62" s="18">
        <f t="shared" si="7"/>
        <v>0</v>
      </c>
    </row>
    <row r="63" spans="1:24" ht="15">
      <c r="A63" s="42" t="s">
        <v>172</v>
      </c>
      <c r="B63" s="27">
        <v>1220</v>
      </c>
      <c r="C63" s="18" t="s">
        <v>21</v>
      </c>
      <c r="D63" s="27" t="s">
        <v>177</v>
      </c>
      <c r="E63" s="27" t="s">
        <v>178</v>
      </c>
      <c r="F63" s="153">
        <v>61.8</v>
      </c>
      <c r="R63" s="153">
        <v>10.3</v>
      </c>
      <c r="U63" s="18">
        <v>51.5</v>
      </c>
      <c r="X63" s="18">
        <f t="shared" si="7"/>
        <v>0</v>
      </c>
    </row>
    <row r="64" spans="1:24" ht="15">
      <c r="A64" s="42" t="s">
        <v>172</v>
      </c>
      <c r="B64" s="27">
        <v>1221</v>
      </c>
      <c r="C64" s="18" t="s">
        <v>21</v>
      </c>
      <c r="D64" s="27" t="s">
        <v>179</v>
      </c>
      <c r="E64" s="27" t="s">
        <v>180</v>
      </c>
      <c r="F64" s="153">
        <v>250</v>
      </c>
      <c r="P64" s="18">
        <v>250</v>
      </c>
      <c r="R64" s="28" t="s">
        <v>176</v>
      </c>
      <c r="X64" s="18">
        <f t="shared" si="7"/>
        <v>0</v>
      </c>
    </row>
    <row r="65" spans="1:24" ht="44.25" customHeight="1">
      <c r="A65" s="42" t="s">
        <v>172</v>
      </c>
      <c r="B65" s="27" t="s">
        <v>181</v>
      </c>
      <c r="D65" s="27" t="s">
        <v>190</v>
      </c>
      <c r="E65" s="27" t="s">
        <v>182</v>
      </c>
      <c r="F65" s="28"/>
      <c r="R65" s="28"/>
      <c r="X65" s="18">
        <f t="shared" si="7"/>
        <v>0</v>
      </c>
    </row>
    <row r="66" spans="1:24" ht="15">
      <c r="A66" s="42" t="s">
        <v>183</v>
      </c>
      <c r="B66" s="27" t="s">
        <v>80</v>
      </c>
      <c r="D66" s="27" t="s">
        <v>68</v>
      </c>
      <c r="E66" s="27" t="s">
        <v>69</v>
      </c>
      <c r="F66" s="153">
        <v>43.2</v>
      </c>
      <c r="R66" s="153">
        <v>7.2</v>
      </c>
      <c r="W66" s="18">
        <v>36</v>
      </c>
      <c r="X66" s="18">
        <f t="shared" si="7"/>
        <v>0</v>
      </c>
    </row>
    <row r="67" spans="1:24" ht="15">
      <c r="A67" s="42" t="s">
        <v>172</v>
      </c>
      <c r="B67" s="27">
        <v>1214</v>
      </c>
      <c r="C67" s="18" t="s">
        <v>21</v>
      </c>
      <c r="D67" s="27" t="s">
        <v>184</v>
      </c>
      <c r="E67" s="27" t="s">
        <v>73</v>
      </c>
      <c r="F67" s="153">
        <v>1800</v>
      </c>
      <c r="P67" s="18">
        <v>1800</v>
      </c>
      <c r="R67" s="28" t="s">
        <v>176</v>
      </c>
      <c r="X67" s="18">
        <f t="shared" si="7"/>
        <v>0</v>
      </c>
    </row>
    <row r="68" spans="1:24" ht="15" customHeight="1">
      <c r="A68" s="42" t="s">
        <v>172</v>
      </c>
      <c r="B68" s="27">
        <v>1215</v>
      </c>
      <c r="C68" s="18" t="s">
        <v>21</v>
      </c>
      <c r="D68" s="27" t="s">
        <v>185</v>
      </c>
      <c r="E68" s="27" t="s">
        <v>180</v>
      </c>
      <c r="F68" s="153">
        <v>75</v>
      </c>
      <c r="P68" s="18">
        <v>75</v>
      </c>
      <c r="R68" s="28" t="s">
        <v>176</v>
      </c>
      <c r="X68" s="18">
        <f t="shared" si="7"/>
        <v>0</v>
      </c>
    </row>
    <row r="69" spans="1:24" ht="15">
      <c r="A69" s="42" t="s">
        <v>172</v>
      </c>
      <c r="B69" s="27">
        <v>1216</v>
      </c>
      <c r="D69" s="27" t="s">
        <v>186</v>
      </c>
      <c r="E69" s="27" t="s">
        <v>180</v>
      </c>
      <c r="F69" s="153">
        <v>75</v>
      </c>
      <c r="P69" s="18">
        <v>75</v>
      </c>
      <c r="R69" s="28" t="s">
        <v>176</v>
      </c>
      <c r="X69" s="18">
        <f t="shared" si="7"/>
        <v>0</v>
      </c>
    </row>
    <row r="70" spans="1:24" ht="30">
      <c r="A70" s="42" t="s">
        <v>172</v>
      </c>
      <c r="B70" s="27">
        <v>1217</v>
      </c>
      <c r="C70" s="18" t="s">
        <v>21</v>
      </c>
      <c r="D70" s="27" t="s">
        <v>187</v>
      </c>
      <c r="E70" s="27" t="s">
        <v>180</v>
      </c>
      <c r="F70" s="153">
        <v>100</v>
      </c>
      <c r="P70" s="18">
        <v>100</v>
      </c>
      <c r="R70" s="28" t="s">
        <v>176</v>
      </c>
      <c r="X70" s="18">
        <f t="shared" si="7"/>
        <v>0</v>
      </c>
    </row>
    <row r="71" spans="1:24" ht="15">
      <c r="A71" s="42" t="s">
        <v>172</v>
      </c>
      <c r="B71" s="27">
        <v>1218</v>
      </c>
      <c r="C71" s="18" t="s">
        <v>21</v>
      </c>
      <c r="D71" s="27" t="s">
        <v>60</v>
      </c>
      <c r="E71" s="27" t="s">
        <v>188</v>
      </c>
      <c r="F71" s="153">
        <v>180</v>
      </c>
      <c r="I71" s="18">
        <f>H70-H71</f>
        <v>0</v>
      </c>
      <c r="R71" s="28" t="s">
        <v>176</v>
      </c>
      <c r="V71" s="18">
        <v>180</v>
      </c>
      <c r="X71" s="18">
        <f t="shared" si="7"/>
        <v>0</v>
      </c>
    </row>
    <row r="72" spans="1:24" ht="15">
      <c r="A72" s="42" t="s">
        <v>172</v>
      </c>
      <c r="B72" s="27">
        <v>1219</v>
      </c>
      <c r="D72" s="27" t="s">
        <v>61</v>
      </c>
      <c r="E72" s="27" t="s">
        <v>189</v>
      </c>
      <c r="F72" s="153">
        <v>427.56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28">
        <v>71.26</v>
      </c>
      <c r="S72" s="30">
        <v>356.3</v>
      </c>
      <c r="T72" s="30"/>
      <c r="U72" s="30"/>
      <c r="V72" s="30"/>
      <c r="W72" s="30"/>
      <c r="X72" s="18">
        <f>F72-SUM(G72:W72)</f>
        <v>0</v>
      </c>
    </row>
    <row r="73" spans="1:24" ht="15">
      <c r="A73" s="42"/>
      <c r="B73" s="27"/>
      <c r="D73" s="27"/>
      <c r="E73" s="27"/>
      <c r="F73" s="28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28"/>
      <c r="S73" s="30"/>
      <c r="T73" s="30"/>
      <c r="U73" s="30"/>
      <c r="V73" s="30"/>
      <c r="W73" s="30"/>
      <c r="X73" s="18">
        <f t="shared" si="7"/>
        <v>0</v>
      </c>
    </row>
    <row r="74" spans="1:24" s="141" customFormat="1" ht="12.75">
      <c r="A74" s="141" t="s">
        <v>191</v>
      </c>
      <c r="B74" s="142"/>
      <c r="E74" s="141" t="s">
        <v>23</v>
      </c>
      <c r="F74" s="143">
        <f aca="true" t="shared" si="8" ref="F74:W74">SUM(F60:F73)</f>
        <v>3994.03</v>
      </c>
      <c r="G74" s="143">
        <f t="shared" si="8"/>
        <v>321.56</v>
      </c>
      <c r="H74" s="143">
        <f t="shared" si="8"/>
        <v>62.91</v>
      </c>
      <c r="I74" s="143">
        <f t="shared" si="8"/>
        <v>68.5</v>
      </c>
      <c r="J74" s="143">
        <f t="shared" si="8"/>
        <v>0</v>
      </c>
      <c r="K74" s="143">
        <f t="shared" si="8"/>
        <v>8.66</v>
      </c>
      <c r="L74" s="143">
        <f t="shared" si="8"/>
        <v>7.84</v>
      </c>
      <c r="M74" s="143">
        <f t="shared" si="8"/>
        <v>3</v>
      </c>
      <c r="N74" s="143">
        <f t="shared" si="8"/>
        <v>0</v>
      </c>
      <c r="O74" s="143">
        <f t="shared" si="8"/>
        <v>0</v>
      </c>
      <c r="P74" s="143">
        <f t="shared" si="8"/>
        <v>2300</v>
      </c>
      <c r="Q74" s="143">
        <f t="shared" si="8"/>
        <v>509</v>
      </c>
      <c r="R74" s="143">
        <f t="shared" si="8"/>
        <v>88.76</v>
      </c>
      <c r="S74" s="143">
        <f t="shared" si="8"/>
        <v>356.3</v>
      </c>
      <c r="T74" s="143">
        <f t="shared" si="8"/>
        <v>0</v>
      </c>
      <c r="U74" s="143">
        <f t="shared" si="8"/>
        <v>51.5</v>
      </c>
      <c r="V74" s="143">
        <f t="shared" si="8"/>
        <v>180</v>
      </c>
      <c r="W74" s="143">
        <f t="shared" si="8"/>
        <v>36</v>
      </c>
      <c r="X74" s="141">
        <f t="shared" si="7"/>
        <v>0</v>
      </c>
    </row>
    <row r="75" spans="1:24" ht="12.75">
      <c r="A75" s="135"/>
      <c r="B75" s="136"/>
      <c r="C75" s="135"/>
      <c r="D75" s="135"/>
      <c r="E75" s="135"/>
      <c r="F75" s="137"/>
      <c r="X75" s="18">
        <f t="shared" si="7"/>
        <v>0</v>
      </c>
    </row>
    <row r="76" spans="1:24" ht="15">
      <c r="A76" s="27" t="s">
        <v>259</v>
      </c>
      <c r="B76" s="27" t="s">
        <v>56</v>
      </c>
      <c r="C76" s="18" t="s">
        <v>21</v>
      </c>
      <c r="D76" s="27" t="s">
        <v>22</v>
      </c>
      <c r="E76" s="27" t="s">
        <v>83</v>
      </c>
      <c r="F76" s="153">
        <v>509</v>
      </c>
      <c r="Q76" s="18">
        <v>509</v>
      </c>
      <c r="R76" s="28" t="s">
        <v>176</v>
      </c>
      <c r="X76" s="18">
        <f t="shared" si="7"/>
        <v>0</v>
      </c>
    </row>
    <row r="77" spans="1:24" ht="30">
      <c r="A77" s="27" t="s">
        <v>280</v>
      </c>
      <c r="B77" s="27" t="s">
        <v>80</v>
      </c>
      <c r="C77" s="18" t="s">
        <v>21</v>
      </c>
      <c r="D77" s="27" t="s">
        <v>71</v>
      </c>
      <c r="E77" s="27" t="s">
        <v>84</v>
      </c>
      <c r="F77" s="153">
        <v>60.88</v>
      </c>
      <c r="H77" s="18">
        <v>60.88</v>
      </c>
      <c r="R77" s="28" t="s">
        <v>176</v>
      </c>
      <c r="X77" s="18">
        <f t="shared" si="7"/>
        <v>0</v>
      </c>
    </row>
    <row r="78" spans="1:24" ht="30">
      <c r="A78" s="42" t="s">
        <v>260</v>
      </c>
      <c r="B78" s="27">
        <v>1222</v>
      </c>
      <c r="D78" s="27" t="s">
        <v>62</v>
      </c>
      <c r="E78" s="27" t="s">
        <v>261</v>
      </c>
      <c r="F78" s="153">
        <v>463.98</v>
      </c>
      <c r="G78" s="18">
        <f>338.25-27.06</f>
        <v>311.19</v>
      </c>
      <c r="I78" s="18">
        <v>68.5</v>
      </c>
      <c r="J78" s="18">
        <v>64.8</v>
      </c>
      <c r="K78" s="18">
        <v>8.66</v>
      </c>
      <c r="L78" s="18">
        <v>7.83</v>
      </c>
      <c r="M78" s="18">
        <v>3</v>
      </c>
      <c r="R78" s="28" t="s">
        <v>176</v>
      </c>
      <c r="X78" s="18">
        <f t="shared" si="7"/>
        <v>0</v>
      </c>
    </row>
    <row r="79" spans="1:24" s="122" customFormat="1" ht="46.5" customHeight="1">
      <c r="A79" s="119" t="s">
        <v>260</v>
      </c>
      <c r="B79" s="120">
        <v>1223</v>
      </c>
      <c r="D79" s="120" t="s">
        <v>177</v>
      </c>
      <c r="E79" s="120" t="s">
        <v>190</v>
      </c>
      <c r="F79" s="154"/>
      <c r="R79" s="121"/>
      <c r="X79" s="18">
        <f>F79-SUM(G79:W79)</f>
        <v>0</v>
      </c>
    </row>
    <row r="80" spans="1:24" ht="15">
      <c r="A80" s="42" t="s">
        <v>260</v>
      </c>
      <c r="B80" s="27" t="s">
        <v>80</v>
      </c>
      <c r="C80" s="18" t="s">
        <v>21</v>
      </c>
      <c r="D80" s="27" t="s">
        <v>68</v>
      </c>
      <c r="E80" s="27" t="s">
        <v>69</v>
      </c>
      <c r="F80" s="153">
        <v>46.8</v>
      </c>
      <c r="R80" s="28">
        <v>7.8</v>
      </c>
      <c r="W80" s="18">
        <v>39</v>
      </c>
      <c r="X80" s="18">
        <f>F80-SUM(G80:W80)</f>
        <v>0</v>
      </c>
    </row>
    <row r="81" spans="1:24" ht="30">
      <c r="A81" s="42" t="s">
        <v>260</v>
      </c>
      <c r="B81" s="27">
        <v>1224</v>
      </c>
      <c r="D81" s="27" t="s">
        <v>62</v>
      </c>
      <c r="E81" s="27" t="s">
        <v>262</v>
      </c>
      <c r="F81" s="153">
        <v>390.06</v>
      </c>
      <c r="G81" s="18">
        <f>349.52-27.96</f>
        <v>321.56</v>
      </c>
      <c r="I81" s="18">
        <v>68.5</v>
      </c>
      <c r="R81" s="28"/>
      <c r="X81" s="18">
        <f t="shared" si="7"/>
        <v>0</v>
      </c>
    </row>
    <row r="82" spans="1:24" ht="30">
      <c r="A82" s="42" t="s">
        <v>260</v>
      </c>
      <c r="B82" s="27">
        <v>1225</v>
      </c>
      <c r="D82" s="27" t="s">
        <v>263</v>
      </c>
      <c r="E82" s="27" t="s">
        <v>264</v>
      </c>
      <c r="F82" s="153">
        <v>87.6</v>
      </c>
      <c r="R82" s="28">
        <v>14.6</v>
      </c>
      <c r="U82" s="18">
        <v>73</v>
      </c>
      <c r="X82" s="18">
        <f t="shared" si="7"/>
        <v>0</v>
      </c>
    </row>
    <row r="83" spans="1:24" ht="15">
      <c r="A83" s="42" t="s">
        <v>260</v>
      </c>
      <c r="B83" s="27">
        <v>1226</v>
      </c>
      <c r="D83" s="27" t="s">
        <v>265</v>
      </c>
      <c r="E83" s="27" t="s">
        <v>266</v>
      </c>
      <c r="F83" s="153">
        <v>36</v>
      </c>
      <c r="R83" s="28"/>
      <c r="V83" s="18">
        <v>36</v>
      </c>
      <c r="X83" s="18">
        <f t="shared" si="7"/>
        <v>0</v>
      </c>
    </row>
    <row r="84" spans="1:24" ht="30">
      <c r="A84" s="42" t="s">
        <v>260</v>
      </c>
      <c r="B84" s="27">
        <v>1227</v>
      </c>
      <c r="D84" s="27" t="s">
        <v>267</v>
      </c>
      <c r="E84" s="27" t="s">
        <v>271</v>
      </c>
      <c r="F84" s="153">
        <v>173.96</v>
      </c>
      <c r="R84" s="28">
        <v>26.87</v>
      </c>
      <c r="V84" s="18">
        <v>147.09</v>
      </c>
      <c r="X84" s="18">
        <f t="shared" si="7"/>
        <v>0</v>
      </c>
    </row>
    <row r="85" spans="1:25" ht="15">
      <c r="A85" s="42" t="s">
        <v>260</v>
      </c>
      <c r="B85" s="27">
        <v>1228</v>
      </c>
      <c r="C85" s="18" t="s">
        <v>21</v>
      </c>
      <c r="D85" s="27" t="s">
        <v>268</v>
      </c>
      <c r="E85" s="27" t="s">
        <v>269</v>
      </c>
      <c r="F85" s="153">
        <v>52</v>
      </c>
      <c r="G85" s="28"/>
      <c r="O85" s="18">
        <v>52</v>
      </c>
      <c r="X85" s="18">
        <f t="shared" si="7"/>
        <v>0</v>
      </c>
      <c r="Y85" s="30">
        <f>SUM(Y66:Y84)</f>
        <v>0</v>
      </c>
    </row>
    <row r="86" spans="1:24" ht="15">
      <c r="A86" s="42" t="s">
        <v>260</v>
      </c>
      <c r="B86" s="27">
        <v>1229</v>
      </c>
      <c r="D86" s="27" t="s">
        <v>60</v>
      </c>
      <c r="E86" s="27" t="s">
        <v>270</v>
      </c>
      <c r="F86" s="153">
        <v>120</v>
      </c>
      <c r="G86" s="28"/>
      <c r="M86" s="18">
        <v>120</v>
      </c>
      <c r="X86" s="18">
        <f t="shared" si="7"/>
        <v>0</v>
      </c>
    </row>
    <row r="87" spans="3:24" ht="15">
      <c r="C87" s="28"/>
      <c r="X87" s="18">
        <f t="shared" si="7"/>
        <v>0</v>
      </c>
    </row>
    <row r="88" ht="12.75">
      <c r="X88" s="18">
        <f t="shared" si="7"/>
        <v>0</v>
      </c>
    </row>
    <row r="89" spans="1:24" s="141" customFormat="1" ht="12.75">
      <c r="A89" s="141" t="s">
        <v>24</v>
      </c>
      <c r="B89" s="142"/>
      <c r="E89" s="141" t="s">
        <v>23</v>
      </c>
      <c r="F89" s="143">
        <f>SUM(F76:F88)</f>
        <v>1940.28</v>
      </c>
      <c r="G89" s="143">
        <f aca="true" t="shared" si="9" ref="G89:W89">SUM(G76:G88)</f>
        <v>632.75</v>
      </c>
      <c r="H89" s="143">
        <f t="shared" si="9"/>
        <v>60.88</v>
      </c>
      <c r="I89" s="143">
        <f t="shared" si="9"/>
        <v>137</v>
      </c>
      <c r="J89" s="143">
        <f t="shared" si="9"/>
        <v>64.8</v>
      </c>
      <c r="K89" s="143">
        <f t="shared" si="9"/>
        <v>8.66</v>
      </c>
      <c r="L89" s="143">
        <f t="shared" si="9"/>
        <v>7.83</v>
      </c>
      <c r="M89" s="143">
        <f t="shared" si="9"/>
        <v>123</v>
      </c>
      <c r="N89" s="143">
        <f t="shared" si="9"/>
        <v>0</v>
      </c>
      <c r="O89" s="143">
        <f t="shared" si="9"/>
        <v>52</v>
      </c>
      <c r="P89" s="143">
        <f t="shared" si="9"/>
        <v>0</v>
      </c>
      <c r="Q89" s="143">
        <f t="shared" si="9"/>
        <v>509</v>
      </c>
      <c r="R89" s="143">
        <f t="shared" si="9"/>
        <v>49.269999999999996</v>
      </c>
      <c r="S89" s="143">
        <f t="shared" si="9"/>
        <v>0</v>
      </c>
      <c r="T89" s="143">
        <f t="shared" si="9"/>
        <v>0</v>
      </c>
      <c r="U89" s="143">
        <f t="shared" si="9"/>
        <v>73</v>
      </c>
      <c r="V89" s="143">
        <f t="shared" si="9"/>
        <v>183.09</v>
      </c>
      <c r="W89" s="143">
        <f t="shared" si="9"/>
        <v>39</v>
      </c>
      <c r="X89" s="141">
        <f t="shared" si="7"/>
        <v>0</v>
      </c>
    </row>
    <row r="90" ht="12.75">
      <c r="X90" s="18">
        <f t="shared" si="7"/>
        <v>0</v>
      </c>
    </row>
    <row r="91" spans="1:24" ht="15">
      <c r="A91" s="27" t="s">
        <v>296</v>
      </c>
      <c r="B91" s="27" t="s">
        <v>56</v>
      </c>
      <c r="C91" s="18" t="s">
        <v>21</v>
      </c>
      <c r="D91" s="27" t="s">
        <v>22</v>
      </c>
      <c r="E91" s="27" t="s">
        <v>83</v>
      </c>
      <c r="F91" s="153">
        <v>509</v>
      </c>
      <c r="Q91" s="18">
        <v>509</v>
      </c>
      <c r="R91" s="28" t="s">
        <v>176</v>
      </c>
      <c r="X91" s="18">
        <f>F91-SUM(G91:W91)</f>
        <v>0</v>
      </c>
    </row>
    <row r="92" spans="1:24" ht="15">
      <c r="A92" s="27" t="s">
        <v>297</v>
      </c>
      <c r="B92" s="27" t="s">
        <v>80</v>
      </c>
      <c r="C92" s="18" t="s">
        <v>21</v>
      </c>
      <c r="D92" s="27" t="s">
        <v>68</v>
      </c>
      <c r="E92" s="27" t="s">
        <v>69</v>
      </c>
      <c r="F92" s="153">
        <v>37.8</v>
      </c>
      <c r="R92" s="28">
        <v>6.3</v>
      </c>
      <c r="W92" s="18">
        <v>31.5</v>
      </c>
      <c r="X92" s="18">
        <f>F92-SUM(G92:W92)</f>
        <v>0</v>
      </c>
    </row>
    <row r="93" spans="1:24" ht="30">
      <c r="A93" s="27"/>
      <c r="B93" s="27"/>
      <c r="C93" s="18" t="s">
        <v>21</v>
      </c>
      <c r="D93" s="27" t="s">
        <v>71</v>
      </c>
      <c r="E93" s="27" t="s">
        <v>84</v>
      </c>
      <c r="F93" s="153">
        <v>62.91</v>
      </c>
      <c r="H93" s="18">
        <v>62.91</v>
      </c>
      <c r="R93" s="28"/>
      <c r="X93" s="18">
        <f aca="true" t="shared" si="10" ref="X93:X100">F93-SUM(G93:W93)</f>
        <v>0</v>
      </c>
    </row>
    <row r="94" spans="1:24" s="141" customFormat="1" ht="12.75">
      <c r="A94" s="141" t="s">
        <v>281</v>
      </c>
      <c r="B94" s="142"/>
      <c r="E94" s="141" t="s">
        <v>23</v>
      </c>
      <c r="F94" s="143">
        <f>SUM(F91:F93)</f>
        <v>609.7099999999999</v>
      </c>
      <c r="G94" s="143">
        <f aca="true" t="shared" si="11" ref="G94:L94">SUM(G91:G93)</f>
        <v>0</v>
      </c>
      <c r="H94" s="143">
        <f t="shared" si="11"/>
        <v>62.91</v>
      </c>
      <c r="I94" s="143">
        <f t="shared" si="11"/>
        <v>0</v>
      </c>
      <c r="J94" s="143">
        <f t="shared" si="11"/>
        <v>0</v>
      </c>
      <c r="K94" s="143">
        <f t="shared" si="11"/>
        <v>0</v>
      </c>
      <c r="L94" s="143">
        <f t="shared" si="11"/>
        <v>0</v>
      </c>
      <c r="M94" s="143">
        <f aca="true" t="shared" si="12" ref="M94:W94">SUM(M91:M92)</f>
        <v>0</v>
      </c>
      <c r="N94" s="143">
        <f t="shared" si="12"/>
        <v>0</v>
      </c>
      <c r="O94" s="143">
        <f t="shared" si="12"/>
        <v>0</v>
      </c>
      <c r="P94" s="143">
        <f t="shared" si="12"/>
        <v>0</v>
      </c>
      <c r="Q94" s="143">
        <f t="shared" si="12"/>
        <v>509</v>
      </c>
      <c r="R94" s="143">
        <f t="shared" si="12"/>
        <v>6.3</v>
      </c>
      <c r="S94" s="143">
        <f t="shared" si="12"/>
        <v>0</v>
      </c>
      <c r="T94" s="143">
        <f t="shared" si="12"/>
        <v>0</v>
      </c>
      <c r="U94" s="143">
        <f t="shared" si="12"/>
        <v>0</v>
      </c>
      <c r="V94" s="143">
        <f t="shared" si="12"/>
        <v>0</v>
      </c>
      <c r="W94" s="143">
        <f t="shared" si="12"/>
        <v>31.5</v>
      </c>
      <c r="X94" s="18">
        <f>F94-SUM(G94:W94)</f>
        <v>0</v>
      </c>
    </row>
    <row r="95" spans="2:24" s="141" customFormat="1" ht="12.75">
      <c r="B95" s="142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8">
        <f t="shared" si="10"/>
        <v>0</v>
      </c>
    </row>
    <row r="96" spans="1:24" s="141" customFormat="1" ht="14.25">
      <c r="A96" s="150"/>
      <c r="B96" s="150"/>
      <c r="C96" s="150"/>
      <c r="D96" s="150"/>
      <c r="E96" s="150"/>
      <c r="F96" s="150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8">
        <f t="shared" si="10"/>
        <v>0</v>
      </c>
    </row>
    <row r="97" spans="1:24" s="141" customFormat="1" ht="15">
      <c r="A97" s="27" t="s">
        <v>298</v>
      </c>
      <c r="B97" s="27" t="s">
        <v>56</v>
      </c>
      <c r="C97" s="141" t="s">
        <v>21</v>
      </c>
      <c r="D97" s="27" t="s">
        <v>22</v>
      </c>
      <c r="E97" s="27" t="s">
        <v>83</v>
      </c>
      <c r="F97" s="153">
        <v>509</v>
      </c>
      <c r="G97" s="28"/>
      <c r="H97" s="143"/>
      <c r="I97" s="143"/>
      <c r="J97" s="143"/>
      <c r="K97" s="143"/>
      <c r="L97" s="143"/>
      <c r="M97" s="143"/>
      <c r="N97" s="143"/>
      <c r="O97" s="143"/>
      <c r="P97" s="143"/>
      <c r="Q97" s="143">
        <v>509</v>
      </c>
      <c r="R97" s="143"/>
      <c r="S97" s="143"/>
      <c r="T97" s="143"/>
      <c r="U97" s="143"/>
      <c r="V97" s="143"/>
      <c r="W97" s="143"/>
      <c r="X97" s="18">
        <f t="shared" si="10"/>
        <v>0</v>
      </c>
    </row>
    <row r="98" spans="1:24" s="141" customFormat="1" ht="30">
      <c r="A98" s="27" t="s">
        <v>311</v>
      </c>
      <c r="B98" s="27" t="s">
        <v>80</v>
      </c>
      <c r="C98" s="141" t="s">
        <v>21</v>
      </c>
      <c r="D98" s="27" t="s">
        <v>71</v>
      </c>
      <c r="E98" s="27" t="s">
        <v>299</v>
      </c>
      <c r="F98" s="153">
        <v>62.91</v>
      </c>
      <c r="G98" s="28" t="s">
        <v>176</v>
      </c>
      <c r="H98" s="143">
        <v>62.91</v>
      </c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8">
        <f t="shared" si="10"/>
        <v>0</v>
      </c>
    </row>
    <row r="99" spans="1:24" ht="30">
      <c r="A99" s="42" t="s">
        <v>300</v>
      </c>
      <c r="B99" s="27">
        <v>1230</v>
      </c>
      <c r="C99" s="18" t="s">
        <v>21</v>
      </c>
      <c r="D99" s="27" t="s">
        <v>62</v>
      </c>
      <c r="E99" s="27" t="s">
        <v>301</v>
      </c>
      <c r="F99" s="153">
        <v>389.12</v>
      </c>
      <c r="G99" s="28">
        <f>349.52-25.2-27.96</f>
        <v>296.36</v>
      </c>
      <c r="I99" s="18">
        <v>68.5</v>
      </c>
      <c r="K99" s="18">
        <v>18.46</v>
      </c>
      <c r="L99" s="18">
        <v>2.8</v>
      </c>
      <c r="M99" s="18">
        <v>3</v>
      </c>
      <c r="X99" s="18">
        <f t="shared" si="10"/>
        <v>0</v>
      </c>
    </row>
    <row r="100" spans="1:24" ht="30">
      <c r="A100" s="42" t="s">
        <v>300</v>
      </c>
      <c r="B100" s="27">
        <v>1231</v>
      </c>
      <c r="C100" s="18" t="s">
        <v>21</v>
      </c>
      <c r="D100" s="27" t="s">
        <v>302</v>
      </c>
      <c r="E100" s="27" t="s">
        <v>303</v>
      </c>
      <c r="F100" s="153">
        <v>8200.38</v>
      </c>
      <c r="G100" s="28"/>
      <c r="R100" s="18">
        <v>1366.73</v>
      </c>
      <c r="V100" s="18">
        <v>6833.65</v>
      </c>
      <c r="X100" s="18">
        <f t="shared" si="10"/>
        <v>0</v>
      </c>
    </row>
    <row r="101" spans="1:24" ht="30">
      <c r="A101" s="42" t="s">
        <v>300</v>
      </c>
      <c r="B101" s="27">
        <v>1232</v>
      </c>
      <c r="C101" s="18" t="s">
        <v>21</v>
      </c>
      <c r="D101" s="27" t="s">
        <v>62</v>
      </c>
      <c r="E101" s="27" t="s">
        <v>304</v>
      </c>
      <c r="F101" s="153">
        <v>390.06</v>
      </c>
      <c r="G101" s="28">
        <f>349.52-27.96</f>
        <v>321.56</v>
      </c>
      <c r="I101" s="18">
        <v>68.5</v>
      </c>
      <c r="R101" s="23"/>
      <c r="X101" s="18">
        <f>F101-SUM(G101:W101)</f>
        <v>0</v>
      </c>
    </row>
    <row r="102" spans="1:24" ht="15">
      <c r="A102" s="42" t="s">
        <v>300</v>
      </c>
      <c r="B102" s="27">
        <v>1233</v>
      </c>
      <c r="C102" s="18" t="s">
        <v>21</v>
      </c>
      <c r="D102" s="27" t="s">
        <v>287</v>
      </c>
      <c r="E102" s="27" t="s">
        <v>305</v>
      </c>
      <c r="F102" s="153">
        <v>25.2</v>
      </c>
      <c r="G102" s="153">
        <v>25.2</v>
      </c>
      <c r="R102" s="23"/>
      <c r="X102" s="18">
        <f aca="true" t="shared" si="13" ref="X102:X128">F102-SUM(G102:W102)</f>
        <v>0</v>
      </c>
    </row>
    <row r="103" spans="1:24" ht="15">
      <c r="A103" s="42" t="s">
        <v>300</v>
      </c>
      <c r="B103" s="27">
        <v>1234</v>
      </c>
      <c r="C103" s="18" t="s">
        <v>21</v>
      </c>
      <c r="D103" s="27" t="s">
        <v>306</v>
      </c>
      <c r="E103" s="27" t="s">
        <v>307</v>
      </c>
      <c r="F103" s="153">
        <v>240</v>
      </c>
      <c r="G103" s="28"/>
      <c r="N103" s="18">
        <v>240</v>
      </c>
      <c r="R103" s="23"/>
      <c r="X103" s="18">
        <f t="shared" si="13"/>
        <v>0</v>
      </c>
    </row>
    <row r="104" spans="1:24" ht="15">
      <c r="A104" s="42" t="s">
        <v>300</v>
      </c>
      <c r="B104" s="27">
        <v>1235</v>
      </c>
      <c r="C104" s="18" t="s">
        <v>21</v>
      </c>
      <c r="D104" s="27" t="s">
        <v>308</v>
      </c>
      <c r="E104" s="27" t="s">
        <v>309</v>
      </c>
      <c r="F104" s="153">
        <v>288</v>
      </c>
      <c r="G104" s="28"/>
      <c r="Q104" s="18">
        <v>240</v>
      </c>
      <c r="R104" s="23">
        <v>48</v>
      </c>
      <c r="X104" s="18">
        <f t="shared" si="13"/>
        <v>0</v>
      </c>
    </row>
    <row r="105" spans="1:24" s="19" customFormat="1" ht="15">
      <c r="A105" s="42" t="s">
        <v>300</v>
      </c>
      <c r="B105" s="27">
        <v>1236</v>
      </c>
      <c r="C105" s="19" t="s">
        <v>21</v>
      </c>
      <c r="D105" s="27" t="s">
        <v>85</v>
      </c>
      <c r="E105" s="27" t="s">
        <v>310</v>
      </c>
      <c r="F105" s="153">
        <v>310.29</v>
      </c>
      <c r="G105" s="28"/>
      <c r="R105" s="23"/>
      <c r="T105" s="19">
        <v>310.29</v>
      </c>
      <c r="X105" s="18">
        <f t="shared" si="13"/>
        <v>0</v>
      </c>
    </row>
    <row r="106" spans="1:24" ht="15">
      <c r="A106" s="22" t="s">
        <v>312</v>
      </c>
      <c r="B106" s="26"/>
      <c r="D106" s="22" t="s">
        <v>313</v>
      </c>
      <c r="E106" s="22"/>
      <c r="F106" s="155">
        <v>8</v>
      </c>
      <c r="R106" s="23"/>
      <c r="V106" s="18">
        <v>8</v>
      </c>
      <c r="X106" s="18">
        <f t="shared" si="13"/>
        <v>0</v>
      </c>
    </row>
    <row r="107" spans="1:24" ht="15">
      <c r="A107" s="22"/>
      <c r="B107" s="26"/>
      <c r="D107" s="22"/>
      <c r="E107" s="22"/>
      <c r="F107" s="32"/>
      <c r="R107" s="23"/>
      <c r="X107" s="18">
        <f t="shared" si="13"/>
        <v>0</v>
      </c>
    </row>
    <row r="108" ht="12.75">
      <c r="X108" s="18">
        <f t="shared" si="13"/>
        <v>0</v>
      </c>
    </row>
    <row r="109" spans="1:24" s="141" customFormat="1" ht="12.75">
      <c r="A109" s="141" t="s">
        <v>25</v>
      </c>
      <c r="B109" s="142"/>
      <c r="E109" s="141" t="s">
        <v>23</v>
      </c>
      <c r="F109" s="143">
        <f aca="true" t="shared" si="14" ref="F109:W109">SUM(F97:F108)</f>
        <v>10422.960000000001</v>
      </c>
      <c r="G109" s="143">
        <f t="shared" si="14"/>
        <v>643.1200000000001</v>
      </c>
      <c r="H109" s="143">
        <f t="shared" si="14"/>
        <v>62.91</v>
      </c>
      <c r="I109" s="143">
        <f t="shared" si="14"/>
        <v>137</v>
      </c>
      <c r="J109" s="143">
        <f t="shared" si="14"/>
        <v>0</v>
      </c>
      <c r="K109" s="143">
        <f t="shared" si="14"/>
        <v>18.46</v>
      </c>
      <c r="L109" s="143">
        <f t="shared" si="14"/>
        <v>2.8</v>
      </c>
      <c r="M109" s="143">
        <f t="shared" si="14"/>
        <v>3</v>
      </c>
      <c r="N109" s="143">
        <f t="shared" si="14"/>
        <v>240</v>
      </c>
      <c r="O109" s="143">
        <f t="shared" si="14"/>
        <v>0</v>
      </c>
      <c r="P109" s="143">
        <f t="shared" si="14"/>
        <v>0</v>
      </c>
      <c r="Q109" s="143">
        <f t="shared" si="14"/>
        <v>749</v>
      </c>
      <c r="R109" s="143">
        <f t="shared" si="14"/>
        <v>1414.73</v>
      </c>
      <c r="S109" s="143">
        <f t="shared" si="14"/>
        <v>0</v>
      </c>
      <c r="T109" s="143">
        <f t="shared" si="14"/>
        <v>310.29</v>
      </c>
      <c r="U109" s="143">
        <f t="shared" si="14"/>
        <v>0</v>
      </c>
      <c r="V109" s="143">
        <f t="shared" si="14"/>
        <v>6841.65</v>
      </c>
      <c r="W109" s="143">
        <f t="shared" si="14"/>
        <v>0</v>
      </c>
      <c r="X109" s="18">
        <f>F109-SUM(G109:W109)</f>
        <v>0</v>
      </c>
    </row>
    <row r="110" ht="12.75">
      <c r="X110" s="18">
        <f t="shared" si="13"/>
        <v>0</v>
      </c>
    </row>
    <row r="111" spans="1:24" ht="15">
      <c r="A111" s="27" t="s">
        <v>314</v>
      </c>
      <c r="B111" s="27" t="s">
        <v>56</v>
      </c>
      <c r="C111" s="18" t="s">
        <v>21</v>
      </c>
      <c r="D111" s="27" t="s">
        <v>22</v>
      </c>
      <c r="E111" s="27" t="s">
        <v>83</v>
      </c>
      <c r="F111" s="153">
        <v>509</v>
      </c>
      <c r="G111" s="28" t="s">
        <v>176</v>
      </c>
      <c r="Q111" s="18">
        <v>509</v>
      </c>
      <c r="X111" s="18">
        <f t="shared" si="13"/>
        <v>0</v>
      </c>
    </row>
    <row r="112" spans="1:24" ht="15">
      <c r="A112" s="27" t="s">
        <v>320</v>
      </c>
      <c r="B112" s="27" t="s">
        <v>80</v>
      </c>
      <c r="C112" s="18" t="s">
        <v>21</v>
      </c>
      <c r="D112" s="27" t="s">
        <v>68</v>
      </c>
      <c r="E112" s="27" t="s">
        <v>69</v>
      </c>
      <c r="F112" s="28">
        <v>49.68</v>
      </c>
      <c r="Q112" s="151"/>
      <c r="R112" s="28">
        <v>8.28</v>
      </c>
      <c r="W112" s="18">
        <v>41.4</v>
      </c>
      <c r="X112" s="18">
        <f>F112-SUM(G112:W112)</f>
        <v>0</v>
      </c>
    </row>
    <row r="113" spans="1:24" ht="30">
      <c r="A113" s="27" t="s">
        <v>315</v>
      </c>
      <c r="B113" s="27" t="s">
        <v>80</v>
      </c>
      <c r="C113" s="18" t="s">
        <v>21</v>
      </c>
      <c r="D113" s="27" t="s">
        <v>71</v>
      </c>
      <c r="E113" s="27" t="s">
        <v>84</v>
      </c>
      <c r="F113" s="28">
        <v>56.83</v>
      </c>
      <c r="G113" s="28" t="s">
        <v>176</v>
      </c>
      <c r="H113" s="18">
        <v>56.83</v>
      </c>
      <c r="X113" s="18">
        <f t="shared" si="13"/>
        <v>0</v>
      </c>
    </row>
    <row r="114" spans="1:24" ht="30">
      <c r="A114" s="42" t="s">
        <v>316</v>
      </c>
      <c r="B114" s="27">
        <v>1237</v>
      </c>
      <c r="C114" s="18" t="s">
        <v>21</v>
      </c>
      <c r="D114" s="27" t="s">
        <v>62</v>
      </c>
      <c r="E114" s="27" t="s">
        <v>317</v>
      </c>
      <c r="F114" s="28">
        <v>392.76</v>
      </c>
      <c r="G114" s="153">
        <f>315.7-25.26+29.66</f>
        <v>320.1</v>
      </c>
      <c r="I114" s="18">
        <v>68.49</v>
      </c>
      <c r="K114" s="18">
        <v>4.17</v>
      </c>
      <c r="X114" s="18">
        <f>F114-SUM(G114:W114)</f>
        <v>0</v>
      </c>
    </row>
    <row r="115" spans="1:24" ht="12.75">
      <c r="A115" s="18" t="s">
        <v>91</v>
      </c>
      <c r="X115" s="18">
        <f t="shared" si="13"/>
        <v>0</v>
      </c>
    </row>
    <row r="116" spans="1:46" s="141" customFormat="1" ht="12.75">
      <c r="A116" s="141" t="s">
        <v>26</v>
      </c>
      <c r="B116" s="142"/>
      <c r="E116" s="141" t="s">
        <v>23</v>
      </c>
      <c r="F116" s="143">
        <f aca="true" t="shared" si="15" ref="F116:W116">SUM(F111:F114)</f>
        <v>1008.27</v>
      </c>
      <c r="G116" s="143">
        <f t="shared" si="15"/>
        <v>320.1</v>
      </c>
      <c r="H116" s="143">
        <f t="shared" si="15"/>
        <v>56.83</v>
      </c>
      <c r="I116" s="143">
        <f t="shared" si="15"/>
        <v>68.49</v>
      </c>
      <c r="J116" s="143">
        <f t="shared" si="15"/>
        <v>0</v>
      </c>
      <c r="K116" s="143">
        <f t="shared" si="15"/>
        <v>4.17</v>
      </c>
      <c r="L116" s="143">
        <f t="shared" si="15"/>
        <v>0</v>
      </c>
      <c r="M116" s="143">
        <f t="shared" si="15"/>
        <v>0</v>
      </c>
      <c r="N116" s="143">
        <f t="shared" si="15"/>
        <v>0</v>
      </c>
      <c r="O116" s="143">
        <f t="shared" si="15"/>
        <v>0</v>
      </c>
      <c r="P116" s="143">
        <f t="shared" si="15"/>
        <v>0</v>
      </c>
      <c r="Q116" s="143">
        <f t="shared" si="15"/>
        <v>509</v>
      </c>
      <c r="R116" s="143">
        <f t="shared" si="15"/>
        <v>8.28</v>
      </c>
      <c r="S116" s="143">
        <f t="shared" si="15"/>
        <v>0</v>
      </c>
      <c r="T116" s="143">
        <f t="shared" si="15"/>
        <v>0</v>
      </c>
      <c r="U116" s="143">
        <f t="shared" si="15"/>
        <v>0</v>
      </c>
      <c r="V116" s="143">
        <f t="shared" si="15"/>
        <v>0</v>
      </c>
      <c r="W116" s="143">
        <f t="shared" si="15"/>
        <v>41.4</v>
      </c>
      <c r="X116" s="18">
        <f t="shared" si="13"/>
        <v>0</v>
      </c>
      <c r="AT116" s="141" t="e">
        <f>SUM(#REF!)</f>
        <v>#REF!</v>
      </c>
    </row>
    <row r="117" ht="12.75">
      <c r="X117" s="18">
        <f t="shared" si="13"/>
        <v>0</v>
      </c>
    </row>
    <row r="118" spans="1:22" ht="12.75">
      <c r="A118" s="18" t="s">
        <v>315</v>
      </c>
      <c r="B118" s="24" t="s">
        <v>72</v>
      </c>
      <c r="C118" s="18" t="s">
        <v>21</v>
      </c>
      <c r="D118" s="18" t="s">
        <v>325</v>
      </c>
      <c r="E118" s="18" t="s">
        <v>326</v>
      </c>
      <c r="F118" s="30">
        <v>5</v>
      </c>
      <c r="V118" s="18">
        <v>5</v>
      </c>
    </row>
    <row r="120" spans="1:24" ht="15">
      <c r="A120" s="27" t="s">
        <v>321</v>
      </c>
      <c r="B120" s="27" t="s">
        <v>56</v>
      </c>
      <c r="C120" s="18" t="s">
        <v>21</v>
      </c>
      <c r="D120" s="27" t="s">
        <v>22</v>
      </c>
      <c r="E120" s="27" t="s">
        <v>83</v>
      </c>
      <c r="F120" s="153">
        <v>509</v>
      </c>
      <c r="G120" s="29"/>
      <c r="Q120" s="18">
        <v>509</v>
      </c>
      <c r="X120" s="18">
        <f t="shared" si="13"/>
        <v>0</v>
      </c>
    </row>
    <row r="121" spans="1:24" ht="30">
      <c r="A121" s="27" t="s">
        <v>322</v>
      </c>
      <c r="B121" s="27" t="s">
        <v>80</v>
      </c>
      <c r="D121" s="27" t="s">
        <v>71</v>
      </c>
      <c r="E121" s="27" t="s">
        <v>84</v>
      </c>
      <c r="F121" s="153">
        <v>56.83</v>
      </c>
      <c r="G121" s="29"/>
      <c r="H121" s="18">
        <v>56.83</v>
      </c>
      <c r="X121" s="18">
        <f t="shared" si="13"/>
        <v>0</v>
      </c>
    </row>
    <row r="122" spans="1:24" ht="30">
      <c r="A122" s="27" t="s">
        <v>323</v>
      </c>
      <c r="B122" s="27">
        <v>1238</v>
      </c>
      <c r="D122" s="27" t="s">
        <v>62</v>
      </c>
      <c r="E122" s="27" t="s">
        <v>317</v>
      </c>
      <c r="F122" s="153">
        <v>349.13</v>
      </c>
      <c r="G122" s="29">
        <f>349.52-25.26-25.8-29.66</f>
        <v>268.79999999999995</v>
      </c>
      <c r="I122" s="18">
        <v>68.5</v>
      </c>
      <c r="L122" s="18">
        <v>1.83</v>
      </c>
      <c r="M122" s="18">
        <v>10</v>
      </c>
      <c r="X122" s="18">
        <f t="shared" si="13"/>
        <v>0</v>
      </c>
    </row>
    <row r="123" spans="1:24" ht="15">
      <c r="A123" s="27" t="s">
        <v>323</v>
      </c>
      <c r="B123" s="27">
        <v>1239</v>
      </c>
      <c r="D123" s="27" t="s">
        <v>287</v>
      </c>
      <c r="E123" s="27" t="s">
        <v>324</v>
      </c>
      <c r="F123" s="153">
        <v>25.8</v>
      </c>
      <c r="G123" s="29">
        <v>25.8</v>
      </c>
      <c r="X123" s="18">
        <f t="shared" si="13"/>
        <v>0</v>
      </c>
    </row>
    <row r="124" spans="1:24" ht="15">
      <c r="A124" s="27"/>
      <c r="B124" s="27"/>
      <c r="C124" s="27"/>
      <c r="D124" s="27"/>
      <c r="E124" s="27"/>
      <c r="F124" s="29"/>
      <c r="G124" s="28"/>
      <c r="X124" s="18">
        <f t="shared" si="13"/>
        <v>0</v>
      </c>
    </row>
    <row r="125" spans="1:46" s="141" customFormat="1" ht="12.75">
      <c r="A125" s="141" t="s">
        <v>26</v>
      </c>
      <c r="B125" s="142"/>
      <c r="E125" s="141" t="s">
        <v>23</v>
      </c>
      <c r="F125" s="143">
        <f>SUM(F118:F123)</f>
        <v>945.76</v>
      </c>
      <c r="G125" s="143">
        <f aca="true" t="shared" si="16" ref="G125:W125">SUM(G118:G123)</f>
        <v>294.59999999999997</v>
      </c>
      <c r="H125" s="143">
        <f t="shared" si="16"/>
        <v>56.83</v>
      </c>
      <c r="I125" s="143">
        <f t="shared" si="16"/>
        <v>68.5</v>
      </c>
      <c r="J125" s="143">
        <f t="shared" si="16"/>
        <v>0</v>
      </c>
      <c r="K125" s="143">
        <f t="shared" si="16"/>
        <v>0</v>
      </c>
      <c r="L125" s="143">
        <f t="shared" si="16"/>
        <v>1.83</v>
      </c>
      <c r="M125" s="143">
        <f t="shared" si="16"/>
        <v>10</v>
      </c>
      <c r="N125" s="143">
        <f t="shared" si="16"/>
        <v>0</v>
      </c>
      <c r="O125" s="143">
        <f t="shared" si="16"/>
        <v>0</v>
      </c>
      <c r="P125" s="143">
        <f t="shared" si="16"/>
        <v>0</v>
      </c>
      <c r="Q125" s="143">
        <f t="shared" si="16"/>
        <v>509</v>
      </c>
      <c r="R125" s="143">
        <f t="shared" si="16"/>
        <v>0</v>
      </c>
      <c r="S125" s="143">
        <f t="shared" si="16"/>
        <v>0</v>
      </c>
      <c r="T125" s="143">
        <f t="shared" si="16"/>
        <v>0</v>
      </c>
      <c r="U125" s="143">
        <f t="shared" si="16"/>
        <v>0</v>
      </c>
      <c r="V125" s="143">
        <f t="shared" si="16"/>
        <v>5</v>
      </c>
      <c r="W125" s="143">
        <f t="shared" si="16"/>
        <v>0</v>
      </c>
      <c r="X125" s="143"/>
      <c r="AT125" s="141" t="e">
        <f>SUM(#REF!)</f>
        <v>#REF!</v>
      </c>
    </row>
    <row r="126" spans="1:24" ht="15">
      <c r="A126" s="27"/>
      <c r="B126" s="27"/>
      <c r="C126" s="27"/>
      <c r="D126" s="27"/>
      <c r="E126" s="27"/>
      <c r="F126" s="29"/>
      <c r="G126" s="28"/>
      <c r="X126" s="18">
        <f t="shared" si="13"/>
        <v>0</v>
      </c>
    </row>
    <row r="127" spans="5:24" ht="12.75">
      <c r="E127" s="18" t="s">
        <v>27</v>
      </c>
      <c r="F127" s="30">
        <f>SUM(F5:F126)/2</f>
        <v>49321.47000000001</v>
      </c>
      <c r="G127" s="30">
        <f aca="true" t="shared" si="17" ref="G127:W127">SUM(G5:G126)/2</f>
        <v>3803.290000000001</v>
      </c>
      <c r="H127" s="30">
        <f t="shared" si="17"/>
        <v>737.4699999999999</v>
      </c>
      <c r="I127" s="30">
        <f t="shared" si="17"/>
        <v>858.01</v>
      </c>
      <c r="J127" s="30">
        <f t="shared" si="17"/>
        <v>137.70000000000002</v>
      </c>
      <c r="K127" s="30">
        <f t="shared" si="17"/>
        <v>52.25</v>
      </c>
      <c r="L127" s="30">
        <f t="shared" si="17"/>
        <v>29.259999999999994</v>
      </c>
      <c r="M127" s="30">
        <f t="shared" si="17"/>
        <v>144</v>
      </c>
      <c r="N127" s="30">
        <f t="shared" si="17"/>
        <v>240</v>
      </c>
      <c r="O127" s="30">
        <f t="shared" si="17"/>
        <v>326.53</v>
      </c>
      <c r="P127" s="30">
        <f t="shared" si="17"/>
        <v>2300</v>
      </c>
      <c r="Q127" s="30">
        <f t="shared" si="17"/>
        <v>7085</v>
      </c>
      <c r="R127" s="30">
        <f t="shared" si="17"/>
        <v>5365.770000000001</v>
      </c>
      <c r="S127" s="30">
        <f t="shared" si="17"/>
        <v>356.3</v>
      </c>
      <c r="T127" s="30">
        <f t="shared" si="17"/>
        <v>797.59</v>
      </c>
      <c r="U127" s="30">
        <f t="shared" si="17"/>
        <v>738.5</v>
      </c>
      <c r="V127" s="30">
        <f t="shared" si="17"/>
        <v>25992.499999999996</v>
      </c>
      <c r="W127" s="30">
        <f t="shared" si="17"/>
        <v>357.29999999999995</v>
      </c>
      <c r="X127" s="18">
        <f>F127-SUM(G127:W127)</f>
        <v>0</v>
      </c>
    </row>
    <row r="128" ht="12.75">
      <c r="X128" s="18">
        <f t="shared" si="13"/>
        <v>0</v>
      </c>
    </row>
    <row r="129" ht="12.75">
      <c r="X129" s="18">
        <f aca="true" t="shared" si="18" ref="X129:X135">F129-SUM(G129:W129)</f>
        <v>0</v>
      </c>
    </row>
    <row r="130" spans="1:21" s="65" customFormat="1" ht="18">
      <c r="A130" s="65" t="s">
        <v>27</v>
      </c>
      <c r="B130" s="138"/>
      <c r="F130" s="139"/>
      <c r="G130" s="140" t="s">
        <v>21</v>
      </c>
      <c r="H130" s="140" t="s">
        <v>21</v>
      </c>
      <c r="I130" s="140" t="s">
        <v>21</v>
      </c>
      <c r="J130" s="140" t="s">
        <v>21</v>
      </c>
      <c r="K130" s="140" t="s">
        <v>21</v>
      </c>
      <c r="L130" s="140" t="s">
        <v>21</v>
      </c>
      <c r="M130" s="140" t="s">
        <v>21</v>
      </c>
      <c r="N130" s="140" t="s">
        <v>21</v>
      </c>
      <c r="O130" s="140" t="s">
        <v>21</v>
      </c>
      <c r="P130" s="140" t="s">
        <v>21</v>
      </c>
      <c r="Q130" s="140" t="s">
        <v>21</v>
      </c>
      <c r="R130" s="140"/>
      <c r="S130" s="140" t="s">
        <v>21</v>
      </c>
      <c r="U130" s="65" t="s">
        <v>21</v>
      </c>
    </row>
    <row r="131" ht="12.75">
      <c r="X131" s="18">
        <f t="shared" si="18"/>
        <v>0</v>
      </c>
    </row>
    <row r="132" ht="12.75">
      <c r="X132" s="18">
        <f t="shared" si="18"/>
        <v>0</v>
      </c>
    </row>
    <row r="133" ht="12.75">
      <c r="X133" s="18">
        <f t="shared" si="18"/>
        <v>0</v>
      </c>
    </row>
    <row r="134" ht="12.75">
      <c r="X134" s="18">
        <f t="shared" si="18"/>
        <v>0</v>
      </c>
    </row>
    <row r="135" ht="12.75">
      <c r="X135" s="18">
        <f t="shared" si="18"/>
        <v>0</v>
      </c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6.5" customHeight="1">
      <c r="B141" s="18"/>
    </row>
    <row r="142" ht="13.5" customHeight="1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</sheetData>
  <sheetProtection/>
  <printOptions/>
  <pageMargins left="0.7" right="0.7" top="0.75" bottom="0.75" header="0.3" footer="0.3"/>
  <pageSetup fitToWidth="0" fitToHeight="1" horizontalDpi="600" verticalDpi="6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1"/>
  <sheetViews>
    <sheetView zoomScale="115" zoomScaleNormal="115" zoomScalePageLayoutView="0" workbookViewId="0" topLeftCell="A1">
      <pane xSplit="9" ySplit="8" topLeftCell="CQ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CS33" sqref="CS33"/>
    </sheetView>
  </sheetViews>
  <sheetFormatPr defaultColWidth="9.140625" defaultRowHeight="12.75"/>
  <cols>
    <col min="1" max="1" width="24.7109375" style="35" customWidth="1"/>
    <col min="2" max="2" width="11.140625" style="76" customWidth="1"/>
    <col min="3" max="5" width="10.57421875" style="77" customWidth="1"/>
    <col min="6" max="6" width="11.8515625" style="67" customWidth="1"/>
    <col min="7" max="7" width="14.8515625" style="75" customWidth="1"/>
    <col min="8" max="8" width="10.8515625" style="75" customWidth="1"/>
    <col min="9" max="9" width="9.140625" style="78" customWidth="1"/>
    <col min="10" max="95" width="9.140625" style="35" customWidth="1"/>
    <col min="96" max="96" width="10.28125" style="35" bestFit="1" customWidth="1"/>
    <col min="97" max="16384" width="9.140625" style="35" customWidth="1"/>
  </cols>
  <sheetData>
    <row r="1" spans="1:9" s="70" customFormat="1" ht="22.5" customHeight="1">
      <c r="A1" s="70" t="s">
        <v>193</v>
      </c>
      <c r="B1" s="71"/>
      <c r="C1" s="72"/>
      <c r="D1" s="72"/>
      <c r="E1" s="72"/>
      <c r="F1" s="66"/>
      <c r="G1" s="73"/>
      <c r="H1" s="73"/>
      <c r="I1" s="74"/>
    </row>
    <row r="2" ht="15" customHeight="1">
      <c r="A2" s="75"/>
    </row>
    <row r="3" ht="15" customHeight="1">
      <c r="A3" s="75" t="s">
        <v>194</v>
      </c>
    </row>
    <row r="4" spans="1:9" s="83" customFormat="1" ht="15" customHeight="1">
      <c r="A4" s="79"/>
      <c r="B4" s="80" t="s">
        <v>195</v>
      </c>
      <c r="C4" s="81" t="s">
        <v>196</v>
      </c>
      <c r="D4" s="55" t="s">
        <v>197</v>
      </c>
      <c r="E4" s="56" t="s">
        <v>198</v>
      </c>
      <c r="F4" s="56" t="s">
        <v>199</v>
      </c>
      <c r="G4" s="64">
        <v>2018.19</v>
      </c>
      <c r="H4" s="79" t="s">
        <v>248</v>
      </c>
      <c r="I4" s="82" t="s">
        <v>249</v>
      </c>
    </row>
    <row r="5" spans="1:13" s="89" customFormat="1" ht="15" customHeight="1">
      <c r="A5" s="84"/>
      <c r="B5" s="85" t="s">
        <v>200</v>
      </c>
      <c r="C5" s="86" t="s">
        <v>200</v>
      </c>
      <c r="D5" s="55" t="s">
        <v>200</v>
      </c>
      <c r="E5" s="56" t="s">
        <v>200</v>
      </c>
      <c r="F5" s="56" t="s">
        <v>201</v>
      </c>
      <c r="G5" s="87" t="s">
        <v>328</v>
      </c>
      <c r="H5" s="87" t="s">
        <v>330</v>
      </c>
      <c r="I5" s="88" t="s">
        <v>201</v>
      </c>
      <c r="M5" s="89" t="s">
        <v>202</v>
      </c>
    </row>
    <row r="6" spans="1:9" s="89" customFormat="1" ht="15" customHeight="1">
      <c r="A6" s="90" t="s">
        <v>203</v>
      </c>
      <c r="B6" s="85"/>
      <c r="C6" s="86"/>
      <c r="D6" s="55"/>
      <c r="E6" s="56"/>
      <c r="F6" s="56">
        <f>F9/F8</f>
        <v>18.584627881003147</v>
      </c>
      <c r="G6" s="91"/>
      <c r="H6" s="87"/>
      <c r="I6" s="88">
        <f>I9/I8</f>
        <v>18.581347640839514</v>
      </c>
    </row>
    <row r="7" spans="1:9" s="89" customFormat="1" ht="15" customHeight="1">
      <c r="A7" s="90"/>
      <c r="B7" s="85"/>
      <c r="C7" s="86"/>
      <c r="D7" s="55"/>
      <c r="E7" s="56"/>
      <c r="F7" s="56"/>
      <c r="G7" s="87"/>
      <c r="H7" s="87"/>
      <c r="I7" s="88"/>
    </row>
    <row r="8" spans="1:9" s="96" customFormat="1" ht="15" customHeight="1">
      <c r="A8" s="92" t="s">
        <v>204</v>
      </c>
      <c r="B8" s="93"/>
      <c r="C8" s="81"/>
      <c r="D8" s="57"/>
      <c r="E8" s="58"/>
      <c r="F8" s="58">
        <v>492.45</v>
      </c>
      <c r="G8" s="94"/>
      <c r="H8" s="94"/>
      <c r="I8" s="95">
        <v>506.96</v>
      </c>
    </row>
    <row r="9" spans="1:10" s="101" customFormat="1" ht="15" customHeight="1">
      <c r="A9" s="97" t="s">
        <v>205</v>
      </c>
      <c r="B9" s="98">
        <v>8805</v>
      </c>
      <c r="C9" s="99">
        <v>7836</v>
      </c>
      <c r="D9" s="59">
        <v>7853</v>
      </c>
      <c r="E9" s="60">
        <v>7736</v>
      </c>
      <c r="F9" s="60">
        <v>9152</v>
      </c>
      <c r="G9" s="60">
        <f>'2018 - 2019 Receipts'!F83</f>
        <v>9152</v>
      </c>
      <c r="H9" s="60">
        <v>9152</v>
      </c>
      <c r="I9" s="100">
        <v>9420</v>
      </c>
      <c r="J9" s="101">
        <f>I9/I8</f>
        <v>18.581347640839514</v>
      </c>
    </row>
    <row r="10" spans="1:10" s="101" customFormat="1" ht="15" customHeight="1">
      <c r="A10" s="97" t="s">
        <v>206</v>
      </c>
      <c r="B10" s="98"/>
      <c r="C10" s="99">
        <v>969</v>
      </c>
      <c r="D10" s="59">
        <v>824</v>
      </c>
      <c r="E10" s="60">
        <v>717</v>
      </c>
      <c r="F10" s="60">
        <v>593</v>
      </c>
      <c r="G10" s="60">
        <f>'2018 - 2019 Receipts'!G83</f>
        <v>593</v>
      </c>
      <c r="H10" s="60">
        <v>593</v>
      </c>
      <c r="I10" s="100">
        <v>540</v>
      </c>
      <c r="J10" s="67" t="s">
        <v>251</v>
      </c>
    </row>
    <row r="11" spans="1:10" ht="15" customHeight="1">
      <c r="A11" s="102" t="s">
        <v>207</v>
      </c>
      <c r="B11" s="93">
        <v>7.17</v>
      </c>
      <c r="C11" s="99">
        <v>7.16</v>
      </c>
      <c r="D11" s="59">
        <v>7.18</v>
      </c>
      <c r="E11" s="60">
        <v>4.49</v>
      </c>
      <c r="F11" s="60">
        <v>7</v>
      </c>
      <c r="G11" s="64">
        <f>'2018 - 2019 Receipts'!H83</f>
        <v>38.54</v>
      </c>
      <c r="H11" s="64">
        <v>25</v>
      </c>
      <c r="I11" s="100">
        <v>7</v>
      </c>
      <c r="J11" s="35" t="s">
        <v>252</v>
      </c>
    </row>
    <row r="12" spans="1:9" ht="15" customHeight="1">
      <c r="A12" s="102" t="s">
        <v>208</v>
      </c>
      <c r="B12" s="103">
        <v>80</v>
      </c>
      <c r="C12" s="99">
        <v>0</v>
      </c>
      <c r="D12" s="59">
        <v>108</v>
      </c>
      <c r="E12" s="60">
        <v>80</v>
      </c>
      <c r="F12" s="60">
        <v>40</v>
      </c>
      <c r="G12" s="64">
        <f>'2018 - 2019 Receipts'!J83</f>
        <v>40</v>
      </c>
      <c r="H12" s="64">
        <v>40</v>
      </c>
      <c r="I12" s="100">
        <v>40</v>
      </c>
    </row>
    <row r="13" spans="1:10" ht="15" customHeight="1">
      <c r="A13" s="102" t="s">
        <v>209</v>
      </c>
      <c r="B13" s="103">
        <v>4040</v>
      </c>
      <c r="C13" s="99">
        <v>4040</v>
      </c>
      <c r="D13" s="59">
        <v>4040</v>
      </c>
      <c r="E13" s="60">
        <v>4500</v>
      </c>
      <c r="F13" s="60">
        <f>4500+1780</f>
        <v>6280</v>
      </c>
      <c r="G13" s="64">
        <f>'2018 - 2019 Receipts'!O3+'2018 - 2019 Receipts'!O65+'2018 - 2019 Receipts'!O31</f>
        <v>6321.51</v>
      </c>
      <c r="H13" s="64">
        <f>G13+2250+3000-1179</f>
        <v>10392.51</v>
      </c>
      <c r="I13" s="100">
        <f>4040+3000-1200</f>
        <v>5840</v>
      </c>
      <c r="J13" s="75" t="s">
        <v>254</v>
      </c>
    </row>
    <row r="14" spans="1:9" ht="15" customHeight="1">
      <c r="A14" s="102" t="s">
        <v>210</v>
      </c>
      <c r="B14" s="103"/>
      <c r="C14" s="99"/>
      <c r="D14" s="59"/>
      <c r="E14" s="60"/>
      <c r="F14" s="60">
        <v>1220</v>
      </c>
      <c r="G14" s="64">
        <f>'2018 - 2019 Receipts'!O18+'2018 - 2019 Receipts'!O60</f>
        <v>1176.49</v>
      </c>
      <c r="H14" s="64">
        <f>1178.49+'2018 - 2019 Receipts'!O18</f>
        <v>1178.49</v>
      </c>
      <c r="I14" s="100">
        <v>1180</v>
      </c>
    </row>
    <row r="15" spans="1:9" ht="15" customHeight="1">
      <c r="A15" s="102" t="s">
        <v>211</v>
      </c>
      <c r="B15" s="93">
        <v>340</v>
      </c>
      <c r="C15" s="99">
        <v>340</v>
      </c>
      <c r="D15" s="59">
        <v>340</v>
      </c>
      <c r="E15" s="60">
        <v>300</v>
      </c>
      <c r="F15" s="60">
        <v>300</v>
      </c>
      <c r="G15" s="64">
        <f>'2018 - 2019 Receipts'!I83</f>
        <v>340</v>
      </c>
      <c r="H15" s="64">
        <v>300</v>
      </c>
      <c r="I15" s="100">
        <v>300</v>
      </c>
    </row>
    <row r="16" spans="1:9" ht="15" customHeight="1">
      <c r="A16" s="102" t="s">
        <v>212</v>
      </c>
      <c r="B16" s="93">
        <v>845.55</v>
      </c>
      <c r="C16" s="99">
        <v>792</v>
      </c>
      <c r="D16" s="59">
        <v>2028.49</v>
      </c>
      <c r="E16" s="60">
        <v>770.23</v>
      </c>
      <c r="F16" s="60">
        <v>700</v>
      </c>
      <c r="G16" s="64">
        <f>'2018 - 2019 Receipts'!K83</f>
        <v>0</v>
      </c>
      <c r="H16" s="64">
        <v>700</v>
      </c>
      <c r="I16" s="100">
        <v>700</v>
      </c>
    </row>
    <row r="17" spans="1:250" ht="15" customHeight="1">
      <c r="A17" s="64" t="s">
        <v>213</v>
      </c>
      <c r="B17" s="103"/>
      <c r="C17" s="99"/>
      <c r="D17" s="59"/>
      <c r="E17" s="60"/>
      <c r="F17" s="60">
        <v>0</v>
      </c>
      <c r="G17" s="64">
        <f>'2018 - 2019 Receipts'!N83</f>
        <v>0</v>
      </c>
      <c r="H17" s="64">
        <f>G17</f>
        <v>0</v>
      </c>
      <c r="I17" s="104">
        <v>0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</row>
    <row r="18" spans="1:9" ht="15" customHeight="1">
      <c r="A18" s="102" t="s">
        <v>214</v>
      </c>
      <c r="B18" s="93">
        <v>461</v>
      </c>
      <c r="C18" s="99">
        <v>750</v>
      </c>
      <c r="D18" s="59">
        <v>561</v>
      </c>
      <c r="E18" s="60">
        <v>619.33</v>
      </c>
      <c r="F18" s="60">
        <v>500</v>
      </c>
      <c r="G18" s="64">
        <f>'2018 - 2019 Receipts'!L83</f>
        <v>12331.56</v>
      </c>
      <c r="H18" s="64">
        <f>G18</f>
        <v>12331.56</v>
      </c>
      <c r="I18" s="100">
        <v>500</v>
      </c>
    </row>
    <row r="19" spans="1:9" ht="15" customHeight="1">
      <c r="A19" s="102" t="s">
        <v>215</v>
      </c>
      <c r="B19" s="93">
        <v>467.32</v>
      </c>
      <c r="C19" s="99">
        <v>312.65</v>
      </c>
      <c r="D19" s="59"/>
      <c r="E19" s="60">
        <v>468.31</v>
      </c>
      <c r="F19" s="60">
        <v>750</v>
      </c>
      <c r="G19" s="64">
        <f>'2018 - 2019 Receipts'!M83</f>
        <v>5618.5199999999995</v>
      </c>
      <c r="H19" s="64">
        <f>G19+5320</f>
        <v>10938.52</v>
      </c>
      <c r="I19" s="100">
        <v>750</v>
      </c>
    </row>
    <row r="20" spans="1:9" ht="15" customHeight="1">
      <c r="A20" s="64" t="s">
        <v>37</v>
      </c>
      <c r="B20" s="93"/>
      <c r="C20" s="99"/>
      <c r="D20" s="59">
        <v>228.9</v>
      </c>
      <c r="E20" s="60"/>
      <c r="F20" s="60">
        <v>0</v>
      </c>
      <c r="G20" s="64">
        <f>'2018 - 2019 Receipts'!P83</f>
        <v>724.23</v>
      </c>
      <c r="H20" s="64">
        <v>32</v>
      </c>
      <c r="I20" s="100">
        <v>0</v>
      </c>
    </row>
    <row r="21" spans="1:9" ht="15" customHeight="1">
      <c r="A21" s="64" t="s">
        <v>216</v>
      </c>
      <c r="B21" s="93"/>
      <c r="C21" s="99">
        <v>-37.77</v>
      </c>
      <c r="D21" s="59"/>
      <c r="E21" s="60"/>
      <c r="F21" s="105">
        <v>0</v>
      </c>
      <c r="G21" s="64"/>
      <c r="H21" s="64"/>
      <c r="I21" s="100"/>
    </row>
    <row r="22" spans="1:9" ht="15" customHeight="1">
      <c r="A22" s="106" t="s">
        <v>217</v>
      </c>
      <c r="B22" s="107">
        <f>SUM(B9:B19)</f>
        <v>15046.039999999999</v>
      </c>
      <c r="C22" s="61">
        <f aca="true" t="shared" si="0" ref="C22:I22">SUM(C9:C21)</f>
        <v>15009.039999999999</v>
      </c>
      <c r="D22" s="61">
        <f t="shared" si="0"/>
        <v>15990.57</v>
      </c>
      <c r="E22" s="62">
        <f t="shared" si="0"/>
        <v>15195.359999999999</v>
      </c>
      <c r="F22" s="62">
        <f t="shared" si="0"/>
        <v>19542</v>
      </c>
      <c r="G22" s="61">
        <f t="shared" si="0"/>
        <v>36335.85</v>
      </c>
      <c r="H22" s="61">
        <f t="shared" si="0"/>
        <v>45683.08</v>
      </c>
      <c r="I22" s="69">
        <f t="shared" si="0"/>
        <v>19277</v>
      </c>
    </row>
    <row r="23" spans="1:9" ht="15" customHeight="1">
      <c r="A23" s="106"/>
      <c r="B23" s="107"/>
      <c r="C23" s="99"/>
      <c r="D23" s="59"/>
      <c r="E23" s="60"/>
      <c r="F23" s="60"/>
      <c r="G23" s="64"/>
      <c r="H23" s="64"/>
      <c r="I23" s="100"/>
    </row>
    <row r="24" spans="1:9" ht="15" customHeight="1">
      <c r="A24" s="92" t="s">
        <v>218</v>
      </c>
      <c r="B24" s="80"/>
      <c r="C24" s="99"/>
      <c r="D24" s="59"/>
      <c r="E24" s="60"/>
      <c r="F24" s="60"/>
      <c r="G24" s="64"/>
      <c r="H24" s="64"/>
      <c r="I24" s="100"/>
    </row>
    <row r="25" spans="1:96" ht="15" customHeight="1">
      <c r="A25" s="102" t="s">
        <v>219</v>
      </c>
      <c r="B25" s="93">
        <v>3233.9</v>
      </c>
      <c r="C25" s="99">
        <v>3590.11</v>
      </c>
      <c r="D25" s="59">
        <v>3786.29</v>
      </c>
      <c r="E25" s="60">
        <v>4208.54</v>
      </c>
      <c r="F25" s="60">
        <v>4300</v>
      </c>
      <c r="G25" s="64">
        <f>'2018 - 2019 Payments'!G127+'2018 - 2019 Payments'!H127</f>
        <v>4540.760000000001</v>
      </c>
      <c r="H25" s="64">
        <f>350*12</f>
        <v>4200</v>
      </c>
      <c r="I25" s="100">
        <v>4400</v>
      </c>
      <c r="CQ25" s="75" t="s">
        <v>21</v>
      </c>
      <c r="CR25" s="35">
        <f>G53-G25-G26</f>
        <v>43922.7</v>
      </c>
    </row>
    <row r="26" spans="1:95" ht="15" customHeight="1">
      <c r="A26" s="102" t="s">
        <v>220</v>
      </c>
      <c r="B26" s="93">
        <v>684.84</v>
      </c>
      <c r="C26" s="99">
        <v>600</v>
      </c>
      <c r="D26" s="59">
        <v>600</v>
      </c>
      <c r="E26" s="60">
        <v>767.91</v>
      </c>
      <c r="F26" s="60">
        <v>780</v>
      </c>
      <c r="G26" s="64">
        <f>'2018 - 2019 Payments'!I127</f>
        <v>858.01</v>
      </c>
      <c r="H26" s="64">
        <f>G26/0.66</f>
        <v>1300.0151515151515</v>
      </c>
      <c r="I26" s="100">
        <v>780</v>
      </c>
      <c r="CQ26" s="75" t="s">
        <v>21</v>
      </c>
    </row>
    <row r="27" spans="1:95" ht="15" customHeight="1">
      <c r="A27" s="64" t="s">
        <v>221</v>
      </c>
      <c r="B27" s="93">
        <v>214.29</v>
      </c>
      <c r="C27" s="99">
        <v>282.73</v>
      </c>
      <c r="D27" s="59">
        <v>206.64</v>
      </c>
      <c r="E27" s="60">
        <v>166.22</v>
      </c>
      <c r="F27" s="60">
        <v>200</v>
      </c>
      <c r="G27" s="64">
        <f>'2018 - 2019 Payments'!J127</f>
        <v>137.70000000000002</v>
      </c>
      <c r="H27" s="64">
        <f>G27/0.66</f>
        <v>208.63636363636365</v>
      </c>
      <c r="I27" s="100">
        <v>200</v>
      </c>
      <c r="CQ27" s="75" t="s">
        <v>21</v>
      </c>
    </row>
    <row r="28" spans="1:95" ht="15" customHeight="1">
      <c r="A28" s="102" t="s">
        <v>222</v>
      </c>
      <c r="B28" s="93">
        <v>93.39</v>
      </c>
      <c r="C28" s="99">
        <v>116.9</v>
      </c>
      <c r="D28" s="59">
        <v>75.25</v>
      </c>
      <c r="E28" s="60">
        <v>72.7</v>
      </c>
      <c r="F28" s="60">
        <v>100</v>
      </c>
      <c r="G28" s="64">
        <f>'2018 - 2019 Payments'!K127</f>
        <v>52.25</v>
      </c>
      <c r="H28" s="64">
        <f>G28/0.66</f>
        <v>79.16666666666666</v>
      </c>
      <c r="I28" s="100">
        <v>100</v>
      </c>
      <c r="CQ28" s="75" t="s">
        <v>21</v>
      </c>
    </row>
    <row r="29" spans="1:95" ht="15" customHeight="1">
      <c r="A29" s="102" t="s">
        <v>223</v>
      </c>
      <c r="B29" s="93">
        <v>27.1</v>
      </c>
      <c r="C29" s="99">
        <v>21.64</v>
      </c>
      <c r="D29" s="59">
        <v>26.29</v>
      </c>
      <c r="E29" s="60">
        <v>31.16</v>
      </c>
      <c r="F29" s="60">
        <v>32</v>
      </c>
      <c r="G29" s="64">
        <f>'2018 - 2019 Payments'!L127</f>
        <v>29.259999999999994</v>
      </c>
      <c r="H29" s="64">
        <f>G29/0.66</f>
        <v>44.33333333333332</v>
      </c>
      <c r="I29" s="100">
        <v>40</v>
      </c>
      <c r="CQ29" s="75" t="s">
        <v>21</v>
      </c>
    </row>
    <row r="30" spans="1:95" ht="15" customHeight="1">
      <c r="A30" s="102" t="s">
        <v>224</v>
      </c>
      <c r="B30" s="93">
        <f>127+5</f>
        <v>132</v>
      </c>
      <c r="C30" s="99">
        <v>255.47</v>
      </c>
      <c r="D30" s="59">
        <v>285.88</v>
      </c>
      <c r="E30" s="60">
        <v>112.5</v>
      </c>
      <c r="F30" s="60">
        <v>150</v>
      </c>
      <c r="G30" s="64">
        <f>'2018 - 2019 Payments'!M127</f>
        <v>144</v>
      </c>
      <c r="H30" s="64">
        <v>150</v>
      </c>
      <c r="I30" s="104">
        <v>150</v>
      </c>
      <c r="CQ30" s="75" t="s">
        <v>21</v>
      </c>
    </row>
    <row r="31" spans="1:10" ht="15" customHeight="1">
      <c r="A31" s="102" t="s">
        <v>225</v>
      </c>
      <c r="B31" s="93">
        <v>75</v>
      </c>
      <c r="C31" s="99"/>
      <c r="D31" s="59">
        <v>90</v>
      </c>
      <c r="E31" s="60">
        <v>228.9</v>
      </c>
      <c r="F31" s="60">
        <v>250</v>
      </c>
      <c r="G31" s="64"/>
      <c r="H31" s="64">
        <v>50</v>
      </c>
      <c r="I31" s="104">
        <v>250</v>
      </c>
      <c r="J31" s="75" t="s">
        <v>253</v>
      </c>
    </row>
    <row r="32" spans="1:95" ht="15" customHeight="1">
      <c r="A32" s="102" t="s">
        <v>226</v>
      </c>
      <c r="B32" s="93">
        <v>80</v>
      </c>
      <c r="C32" s="99">
        <v>248.74</v>
      </c>
      <c r="D32" s="59">
        <v>530</v>
      </c>
      <c r="E32" s="60">
        <v>2074</v>
      </c>
      <c r="F32" s="60">
        <v>750</v>
      </c>
      <c r="G32" s="64">
        <f>'2018 - 2019 Payments'!U127</f>
        <v>738.5</v>
      </c>
      <c r="H32" s="64">
        <v>800</v>
      </c>
      <c r="I32" s="104">
        <v>750</v>
      </c>
      <c r="CQ32" s="75" t="s">
        <v>21</v>
      </c>
    </row>
    <row r="33" spans="1:9" ht="15" customHeight="1">
      <c r="A33" s="102" t="s">
        <v>227</v>
      </c>
      <c r="B33" s="93">
        <v>4443.5</v>
      </c>
      <c r="C33" s="99">
        <v>4285</v>
      </c>
      <c r="D33" s="59">
        <v>4166.5</v>
      </c>
      <c r="E33" s="60">
        <v>4170</v>
      </c>
      <c r="F33" s="60">
        <v>7500</v>
      </c>
      <c r="G33" s="64">
        <f>'2018 - 2019 Payments'!Q127</f>
        <v>7085</v>
      </c>
      <c r="H33" s="64">
        <f>G33+240+(509*4)</f>
        <v>9361</v>
      </c>
      <c r="I33" s="104">
        <v>7100</v>
      </c>
    </row>
    <row r="34" spans="1:95" s="36" customFormat="1" ht="15" customHeight="1">
      <c r="A34" s="102" t="s">
        <v>228</v>
      </c>
      <c r="B34" s="93">
        <v>740</v>
      </c>
      <c r="C34" s="99"/>
      <c r="D34" s="59">
        <v>936.12</v>
      </c>
      <c r="E34" s="60"/>
      <c r="F34" s="60"/>
      <c r="G34" s="64">
        <f>'2018 - 2019 Payments'!V34+'2018 - 2019 Payments'!V100</f>
        <v>24816.409999999996</v>
      </c>
      <c r="H34" s="64">
        <v>25232.7</v>
      </c>
      <c r="I34" s="104"/>
      <c r="CQ34" s="36" t="s">
        <v>21</v>
      </c>
    </row>
    <row r="35" spans="1:95" s="36" customFormat="1" ht="15" customHeight="1">
      <c r="A35" s="102" t="s">
        <v>229</v>
      </c>
      <c r="B35" s="93">
        <v>516.2</v>
      </c>
      <c r="C35" s="99">
        <v>517.98</v>
      </c>
      <c r="D35" s="59">
        <v>397.5</v>
      </c>
      <c r="E35" s="60">
        <v>424.25</v>
      </c>
      <c r="F35" s="60">
        <v>450</v>
      </c>
      <c r="G35" s="64">
        <f>'2018 - 2019 Payments'!T127</f>
        <v>797.59</v>
      </c>
      <c r="H35" s="64">
        <f>G35</f>
        <v>797.59</v>
      </c>
      <c r="I35" s="104">
        <v>490</v>
      </c>
      <c r="CQ35" s="36" t="s">
        <v>21</v>
      </c>
    </row>
    <row r="36" spans="1:95" s="36" customFormat="1" ht="15" customHeight="1">
      <c r="A36" s="102" t="s">
        <v>230</v>
      </c>
      <c r="B36" s="93">
        <v>90</v>
      </c>
      <c r="C36" s="105"/>
      <c r="D36" s="59">
        <v>90</v>
      </c>
      <c r="E36" s="60"/>
      <c r="F36" s="60">
        <v>45</v>
      </c>
      <c r="G36" s="64"/>
      <c r="H36" s="64">
        <v>45</v>
      </c>
      <c r="I36" s="104">
        <v>45</v>
      </c>
      <c r="CQ36" s="36" t="s">
        <v>329</v>
      </c>
    </row>
    <row r="37" spans="1:95" s="36" customFormat="1" ht="15" customHeight="1">
      <c r="A37" s="102" t="s">
        <v>231</v>
      </c>
      <c r="B37" s="93">
        <v>100</v>
      </c>
      <c r="C37" s="105">
        <v>100</v>
      </c>
      <c r="D37" s="59">
        <v>100</v>
      </c>
      <c r="E37" s="60"/>
      <c r="F37" s="60">
        <v>200</v>
      </c>
      <c r="G37" s="64">
        <f>'2018 - 2019 Payments'!V56</f>
        <v>200</v>
      </c>
      <c r="H37" s="64">
        <f>G37</f>
        <v>200</v>
      </c>
      <c r="I37" s="104">
        <v>200</v>
      </c>
      <c r="CQ37" s="36" t="s">
        <v>21</v>
      </c>
    </row>
    <row r="38" spans="1:95" s="36" customFormat="1" ht="15" customHeight="1">
      <c r="A38" s="64" t="s">
        <v>232</v>
      </c>
      <c r="B38" s="93">
        <v>460.03</v>
      </c>
      <c r="C38" s="105">
        <v>1108.86</v>
      </c>
      <c r="D38" s="59">
        <v>991.02</v>
      </c>
      <c r="E38" s="60">
        <v>726.33</v>
      </c>
      <c r="F38" s="60">
        <v>500</v>
      </c>
      <c r="G38" s="64">
        <f>500+'2018 - 2019 Payments'!O127</f>
        <v>826.53</v>
      </c>
      <c r="H38" s="64">
        <f>G38</f>
        <v>826.53</v>
      </c>
      <c r="I38" s="104">
        <v>775</v>
      </c>
      <c r="J38" s="36" t="s">
        <v>255</v>
      </c>
      <c r="CQ38" s="36" t="s">
        <v>21</v>
      </c>
    </row>
    <row r="39" spans="1:10" ht="15" customHeight="1">
      <c r="A39" s="102" t="s">
        <v>233</v>
      </c>
      <c r="B39" s="93"/>
      <c r="C39" s="99"/>
      <c r="D39" s="59"/>
      <c r="E39" s="60"/>
      <c r="F39" s="60"/>
      <c r="G39" s="64"/>
      <c r="H39" s="64"/>
      <c r="I39" s="104"/>
      <c r="J39" s="75" t="s">
        <v>256</v>
      </c>
    </row>
    <row r="40" spans="1:9" ht="15" customHeight="1">
      <c r="A40" s="102" t="s">
        <v>234</v>
      </c>
      <c r="B40" s="93"/>
      <c r="C40" s="99"/>
      <c r="D40" s="59"/>
      <c r="E40" s="60"/>
      <c r="F40" s="60">
        <v>0</v>
      </c>
      <c r="G40" s="64">
        <v>0</v>
      </c>
      <c r="H40" s="64">
        <v>0</v>
      </c>
      <c r="I40" s="104">
        <v>0</v>
      </c>
    </row>
    <row r="41" spans="1:9" ht="15" customHeight="1">
      <c r="A41" s="102" t="s">
        <v>235</v>
      </c>
      <c r="B41" s="93">
        <v>425</v>
      </c>
      <c r="C41" s="99"/>
      <c r="D41" s="59">
        <v>425</v>
      </c>
      <c r="E41" s="60">
        <f>250+583.33</f>
        <v>833.33</v>
      </c>
      <c r="F41" s="60">
        <v>600</v>
      </c>
      <c r="G41" s="64">
        <f>'2018 - 2019 Payments'!V53+'2018 - 2019 Payments'!V84</f>
        <v>747.09</v>
      </c>
      <c r="H41" s="64">
        <v>0</v>
      </c>
      <c r="I41" s="104">
        <v>0</v>
      </c>
    </row>
    <row r="42" spans="1:9" ht="15" customHeight="1">
      <c r="A42" s="102" t="s">
        <v>236</v>
      </c>
      <c r="B42" s="93">
        <v>7</v>
      </c>
      <c r="C42" s="99"/>
      <c r="D42" s="59">
        <v>4</v>
      </c>
      <c r="E42" s="60">
        <v>3</v>
      </c>
      <c r="F42" s="60">
        <v>3</v>
      </c>
      <c r="G42" s="64">
        <v>8</v>
      </c>
      <c r="H42" s="64">
        <v>3</v>
      </c>
      <c r="I42" s="104">
        <v>3</v>
      </c>
    </row>
    <row r="43" spans="1:95" ht="15" customHeight="1">
      <c r="A43" s="102" t="s">
        <v>211</v>
      </c>
      <c r="B43" s="93">
        <v>240</v>
      </c>
      <c r="C43" s="99">
        <v>240</v>
      </c>
      <c r="D43" s="59">
        <v>240</v>
      </c>
      <c r="E43" s="60">
        <v>200</v>
      </c>
      <c r="F43" s="60">
        <v>200</v>
      </c>
      <c r="G43" s="64">
        <f>'2018 - 2019 Payments'!N127</f>
        <v>240</v>
      </c>
      <c r="H43" s="64">
        <v>200</v>
      </c>
      <c r="I43" s="104">
        <v>200</v>
      </c>
      <c r="CQ43" s="75" t="s">
        <v>21</v>
      </c>
    </row>
    <row r="44" spans="1:95" ht="15" customHeight="1">
      <c r="A44" s="102" t="s">
        <v>237</v>
      </c>
      <c r="B44" s="93">
        <v>1800</v>
      </c>
      <c r="C44" s="99">
        <v>1800</v>
      </c>
      <c r="D44" s="59">
        <v>1800</v>
      </c>
      <c r="E44" s="60">
        <v>1800</v>
      </c>
      <c r="F44" s="60">
        <v>1800</v>
      </c>
      <c r="G44" s="64">
        <v>1800</v>
      </c>
      <c r="H44" s="64">
        <v>1800</v>
      </c>
      <c r="I44" s="104">
        <v>1800</v>
      </c>
      <c r="CQ44" s="75" t="s">
        <v>21</v>
      </c>
    </row>
    <row r="45" spans="1:12" ht="15" customHeight="1">
      <c r="A45" s="102" t="s">
        <v>238</v>
      </c>
      <c r="B45" s="107"/>
      <c r="C45" s="99"/>
      <c r="D45" s="59"/>
      <c r="E45" s="60"/>
      <c r="F45" s="60">
        <v>100</v>
      </c>
      <c r="G45" s="64">
        <v>0</v>
      </c>
      <c r="H45" s="64">
        <v>0</v>
      </c>
      <c r="I45" s="104">
        <v>100</v>
      </c>
      <c r="L45" s="35" t="s">
        <v>257</v>
      </c>
    </row>
    <row r="46" spans="1:9" ht="15" customHeight="1">
      <c r="A46" s="64" t="s">
        <v>239</v>
      </c>
      <c r="B46" s="107"/>
      <c r="C46" s="99"/>
      <c r="D46" s="59"/>
      <c r="E46" s="60">
        <v>138</v>
      </c>
      <c r="F46" s="60"/>
      <c r="G46" s="64">
        <v>0</v>
      </c>
      <c r="H46" s="64">
        <v>0</v>
      </c>
      <c r="I46" s="108">
        <v>0</v>
      </c>
    </row>
    <row r="47" spans="1:9" ht="15" customHeight="1">
      <c r="A47" s="64" t="s">
        <v>58</v>
      </c>
      <c r="B47" s="103">
        <v>310.5</v>
      </c>
      <c r="C47" s="99">
        <v>599</v>
      </c>
      <c r="D47" s="59">
        <v>319</v>
      </c>
      <c r="E47" s="60">
        <v>331.05</v>
      </c>
      <c r="F47" s="60">
        <v>355</v>
      </c>
      <c r="G47" s="64">
        <f>'2018 - 2019 Payments'!S72</f>
        <v>356.3</v>
      </c>
      <c r="H47" s="64">
        <v>356.3</v>
      </c>
      <c r="I47" s="104">
        <v>360</v>
      </c>
    </row>
    <row r="48" spans="1:9" ht="15" customHeight="1">
      <c r="A48" s="102" t="s">
        <v>240</v>
      </c>
      <c r="B48" s="103">
        <v>60</v>
      </c>
      <c r="C48" s="99"/>
      <c r="D48" s="59">
        <f>180+135+11</f>
        <v>326</v>
      </c>
      <c r="E48" s="60"/>
      <c r="F48" s="60">
        <v>191</v>
      </c>
      <c r="G48" s="64">
        <f>'2018 - 2019 Payments'!V71</f>
        <v>180</v>
      </c>
      <c r="H48" s="64">
        <f>G48</f>
        <v>180</v>
      </c>
      <c r="I48" s="104">
        <v>180</v>
      </c>
    </row>
    <row r="49" spans="1:9" ht="15" customHeight="1">
      <c r="A49" s="102" t="s">
        <v>241</v>
      </c>
      <c r="B49" s="103">
        <v>36</v>
      </c>
      <c r="C49" s="99">
        <v>36</v>
      </c>
      <c r="D49" s="59">
        <v>36</v>
      </c>
      <c r="E49" s="60">
        <v>36</v>
      </c>
      <c r="F49" s="60">
        <v>36</v>
      </c>
      <c r="G49" s="64">
        <f>'2018 - 2019 Payments'!V83</f>
        <v>36</v>
      </c>
      <c r="H49" s="64">
        <v>36</v>
      </c>
      <c r="I49" s="104">
        <v>36</v>
      </c>
    </row>
    <row r="50" spans="1:96" ht="15" customHeight="1">
      <c r="A50" s="102" t="s">
        <v>242</v>
      </c>
      <c r="B50" s="103">
        <v>279.32</v>
      </c>
      <c r="C50" s="99">
        <v>329.91</v>
      </c>
      <c r="D50" s="59">
        <v>465.85</v>
      </c>
      <c r="E50" s="60">
        <v>732.77</v>
      </c>
      <c r="F50" s="60">
        <v>500</v>
      </c>
      <c r="G50" s="64">
        <f>'2018 - 2019 Payments'!R127</f>
        <v>5365.770000000001</v>
      </c>
      <c r="H50" s="64">
        <f>G50+1450</f>
        <v>6815.770000000001</v>
      </c>
      <c r="I50" s="104">
        <v>500</v>
      </c>
      <c r="CR50" s="30"/>
    </row>
    <row r="51" spans="1:9" ht="15" customHeight="1">
      <c r="A51" s="64" t="s">
        <v>243</v>
      </c>
      <c r="B51" s="103"/>
      <c r="C51" s="99"/>
      <c r="D51" s="59">
        <v>392.32</v>
      </c>
      <c r="E51" s="60">
        <v>340.85</v>
      </c>
      <c r="F51" s="60">
        <v>400</v>
      </c>
      <c r="G51" s="64">
        <f>'2018 - 2019 Payments'!W127</f>
        <v>357.29999999999995</v>
      </c>
      <c r="H51" s="64">
        <f>G51/0.66</f>
        <v>541.3636363636363</v>
      </c>
      <c r="I51" s="104">
        <v>400</v>
      </c>
    </row>
    <row r="52" spans="1:11" ht="15" customHeight="1">
      <c r="A52" s="64" t="s">
        <v>244</v>
      </c>
      <c r="B52" s="103">
        <f>229.59+23.75</f>
        <v>253.34</v>
      </c>
      <c r="C52" s="99">
        <f>947.24+65.46-36-100</f>
        <v>876.7</v>
      </c>
      <c r="D52" s="59">
        <v>192.22</v>
      </c>
      <c r="E52" s="60">
        <f>1345.23-36-228.9-250-138-2-583.33-1</f>
        <v>105.99999999999989</v>
      </c>
      <c r="F52" s="60">
        <v>100</v>
      </c>
      <c r="G52" s="64">
        <v>5</v>
      </c>
      <c r="H52" s="64"/>
      <c r="I52" s="104"/>
      <c r="K52" s="75"/>
    </row>
    <row r="53" spans="1:9" s="36" customFormat="1" ht="15" customHeight="1">
      <c r="A53" s="106" t="s">
        <v>245</v>
      </c>
      <c r="B53" s="61">
        <f aca="true" t="shared" si="1" ref="B53:H53">SUM(B25:B52)</f>
        <v>14301.410000000002</v>
      </c>
      <c r="C53" s="61">
        <f t="shared" si="1"/>
        <v>15009.04</v>
      </c>
      <c r="D53" s="61">
        <f t="shared" si="1"/>
        <v>16481.88</v>
      </c>
      <c r="E53" s="62">
        <f t="shared" si="1"/>
        <v>17503.51</v>
      </c>
      <c r="F53" s="62">
        <f t="shared" si="1"/>
        <v>19542</v>
      </c>
      <c r="G53" s="61">
        <f t="shared" si="1"/>
        <v>49321.47</v>
      </c>
      <c r="H53" s="61">
        <f t="shared" si="1"/>
        <v>53227.40515151516</v>
      </c>
      <c r="I53" s="69">
        <f>SUM(I25:I52)</f>
        <v>18859</v>
      </c>
    </row>
    <row r="54" spans="1:10" ht="15" customHeight="1">
      <c r="A54" s="102"/>
      <c r="B54" s="93"/>
      <c r="C54" s="99"/>
      <c r="D54" s="59"/>
      <c r="E54" s="60"/>
      <c r="F54" s="60"/>
      <c r="G54" s="103"/>
      <c r="H54" s="64"/>
      <c r="I54" s="100"/>
      <c r="J54" s="63"/>
    </row>
    <row r="55" spans="1:9" ht="15" customHeight="1">
      <c r="A55" s="102" t="s">
        <v>246</v>
      </c>
      <c r="B55" s="93">
        <f>B22-B53</f>
        <v>744.6299999999974</v>
      </c>
      <c r="C55" s="93">
        <f>C22-C53</f>
        <v>0</v>
      </c>
      <c r="D55" s="99">
        <f>D22-D53</f>
        <v>-491.3100000000013</v>
      </c>
      <c r="E55" s="105">
        <f>E22-E53</f>
        <v>-2308.1499999999996</v>
      </c>
      <c r="F55" s="105">
        <f>F22-F53</f>
        <v>0</v>
      </c>
      <c r="G55" s="64"/>
      <c r="H55" s="64"/>
      <c r="I55" s="100">
        <f>I22-I53</f>
        <v>418</v>
      </c>
    </row>
    <row r="56" spans="1:9" ht="15" customHeight="1">
      <c r="A56" s="102"/>
      <c r="B56" s="93"/>
      <c r="C56" s="99"/>
      <c r="D56" s="59"/>
      <c r="E56" s="60"/>
      <c r="F56" s="60"/>
      <c r="G56" s="64"/>
      <c r="H56" s="64"/>
      <c r="I56" s="100"/>
    </row>
    <row r="57" spans="1:9" ht="15" customHeight="1">
      <c r="A57" s="109" t="s">
        <v>247</v>
      </c>
      <c r="B57" s="93"/>
      <c r="C57" s="99"/>
      <c r="D57" s="59"/>
      <c r="E57" s="60"/>
      <c r="F57" s="60"/>
      <c r="G57" s="64"/>
      <c r="H57" s="64"/>
      <c r="I57" s="100"/>
    </row>
    <row r="58" spans="2:9" s="83" customFormat="1" ht="15" customHeight="1">
      <c r="B58" s="110"/>
      <c r="C58" s="77"/>
      <c r="D58" s="77"/>
      <c r="E58" s="111"/>
      <c r="F58" s="67"/>
      <c r="G58" s="75"/>
      <c r="I58" s="112"/>
    </row>
    <row r="59" spans="2:9" s="113" customFormat="1" ht="15" customHeight="1">
      <c r="B59" s="114"/>
      <c r="C59" s="115"/>
      <c r="D59" s="115"/>
      <c r="E59" s="116"/>
      <c r="F59" s="68"/>
      <c r="G59" s="117"/>
      <c r="I59" s="118"/>
    </row>
    <row r="60" spans="2:9" s="83" customFormat="1" ht="15" customHeight="1">
      <c r="B60" s="110"/>
      <c r="C60" s="77"/>
      <c r="D60" s="77"/>
      <c r="E60" s="111"/>
      <c r="F60" s="67"/>
      <c r="G60" s="75"/>
      <c r="I60" s="112"/>
    </row>
    <row r="61" spans="2:9" s="83" customFormat="1" ht="15" customHeight="1">
      <c r="B61" s="110"/>
      <c r="C61" s="77"/>
      <c r="D61" s="77"/>
      <c r="E61" s="111"/>
      <c r="F61" s="67"/>
      <c r="G61" s="75"/>
      <c r="I61" s="11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B34" sqref="B29:E34"/>
    </sheetView>
  </sheetViews>
  <sheetFormatPr defaultColWidth="9.140625" defaultRowHeight="12.75"/>
  <cols>
    <col min="1" max="1" width="11.8515625" style="0" customWidth="1"/>
    <col min="2" max="2" width="27.421875" style="0" customWidth="1"/>
    <col min="3" max="3" width="11.28125" style="47" bestFit="1" customWidth="1"/>
    <col min="4" max="4" width="10.28125" style="47" bestFit="1" customWidth="1"/>
    <col min="5" max="5" width="9.140625" style="47" customWidth="1"/>
  </cols>
  <sheetData>
    <row r="1" ht="12.75">
      <c r="A1" s="53" t="s">
        <v>149</v>
      </c>
    </row>
    <row r="3" spans="1:5" ht="12.75">
      <c r="A3" t="s">
        <v>0</v>
      </c>
      <c r="B3" t="s">
        <v>120</v>
      </c>
      <c r="C3" s="47" t="s">
        <v>150</v>
      </c>
      <c r="D3" s="47" t="s">
        <v>4</v>
      </c>
      <c r="E3" s="47" t="s">
        <v>151</v>
      </c>
    </row>
    <row r="5" spans="1:3" ht="12.75">
      <c r="A5" s="5" t="s">
        <v>170</v>
      </c>
      <c r="B5" s="5" t="s">
        <v>171</v>
      </c>
      <c r="C5" s="47">
        <v>10000</v>
      </c>
    </row>
    <row r="6" spans="1:17" s="5" customFormat="1" ht="15">
      <c r="A6" s="37" t="s">
        <v>106</v>
      </c>
      <c r="B6" s="37" t="s">
        <v>152</v>
      </c>
      <c r="C6" s="48">
        <v>100</v>
      </c>
      <c r="D6" s="48"/>
      <c r="E6" s="49"/>
      <c r="F6" s="16"/>
      <c r="G6" s="16"/>
      <c r="H6" s="16"/>
      <c r="I6" s="6"/>
      <c r="J6" s="6"/>
      <c r="K6" s="6"/>
      <c r="L6" s="6"/>
      <c r="M6" s="6"/>
      <c r="N6" s="6"/>
      <c r="O6" s="6"/>
      <c r="P6" s="6"/>
      <c r="Q6" s="43"/>
    </row>
    <row r="7" spans="1:5" ht="12.75">
      <c r="A7" t="s">
        <v>110</v>
      </c>
      <c r="B7" t="s">
        <v>153</v>
      </c>
      <c r="C7" s="47">
        <v>500</v>
      </c>
      <c r="E7" s="51"/>
    </row>
    <row r="8" spans="1:5" ht="12.75">
      <c r="A8" t="s">
        <v>110</v>
      </c>
      <c r="B8" t="s">
        <v>154</v>
      </c>
      <c r="C8" s="47">
        <v>130</v>
      </c>
      <c r="E8" s="51"/>
    </row>
    <row r="9" spans="1:5" ht="12.75">
      <c r="A9" t="s">
        <v>117</v>
      </c>
      <c r="B9" t="s">
        <v>155</v>
      </c>
      <c r="C9" s="47">
        <v>10000</v>
      </c>
      <c r="E9" s="51"/>
    </row>
    <row r="10" spans="1:7" ht="12.75">
      <c r="A10" t="s">
        <v>132</v>
      </c>
      <c r="B10" t="s">
        <v>156</v>
      </c>
      <c r="C10" s="47">
        <v>539.2</v>
      </c>
      <c r="F10" s="5"/>
      <c r="G10" s="50"/>
    </row>
    <row r="11" spans="1:7" ht="12.75">
      <c r="A11" t="s">
        <v>133</v>
      </c>
      <c r="B11" t="s">
        <v>156</v>
      </c>
      <c r="C11" s="47">
        <v>263.2</v>
      </c>
      <c r="F11" s="5"/>
      <c r="G11" s="50"/>
    </row>
    <row r="12" spans="1:7" ht="12.75">
      <c r="A12" s="5" t="s">
        <v>164</v>
      </c>
      <c r="B12" s="5" t="s">
        <v>165</v>
      </c>
      <c r="D12" s="47">
        <v>21579.31</v>
      </c>
      <c r="F12" s="5"/>
      <c r="G12" s="50"/>
    </row>
    <row r="13" spans="1:8" ht="12.75">
      <c r="A13" t="s">
        <v>137</v>
      </c>
      <c r="B13" s="5" t="s">
        <v>161</v>
      </c>
      <c r="C13" s="47">
        <v>150</v>
      </c>
      <c r="F13" s="52"/>
      <c r="G13" s="50"/>
      <c r="H13" s="50"/>
    </row>
    <row r="14" spans="1:7" ht="12.75">
      <c r="A14" s="5" t="s">
        <v>137</v>
      </c>
      <c r="B14" s="5" t="s">
        <v>153</v>
      </c>
      <c r="C14" s="47">
        <v>172</v>
      </c>
      <c r="F14" s="52"/>
      <c r="G14" s="50"/>
    </row>
    <row r="15" spans="1:7" ht="12.75">
      <c r="A15" s="5" t="s">
        <v>137</v>
      </c>
      <c r="B15" s="5" t="s">
        <v>60</v>
      </c>
      <c r="C15" s="47">
        <v>50</v>
      </c>
      <c r="F15" s="52"/>
      <c r="G15" s="50"/>
    </row>
    <row r="16" spans="1:6" ht="12.75">
      <c r="A16" t="s">
        <v>137</v>
      </c>
      <c r="B16" t="s">
        <v>157</v>
      </c>
      <c r="C16" s="47">
        <v>170.2</v>
      </c>
      <c r="F16" s="5"/>
    </row>
    <row r="17" spans="1:6" ht="12.75">
      <c r="A17" t="s">
        <v>138</v>
      </c>
      <c r="B17" t="s">
        <v>158</v>
      </c>
      <c r="C17" s="47">
        <v>10</v>
      </c>
      <c r="F17" s="5"/>
    </row>
    <row r="18" spans="1:6" ht="12.75">
      <c r="A18" s="5" t="s">
        <v>143</v>
      </c>
      <c r="B18" s="5" t="s">
        <v>160</v>
      </c>
      <c r="C18" s="47">
        <v>136.96</v>
      </c>
      <c r="F18" s="5"/>
    </row>
    <row r="19" spans="1:3" ht="12.75">
      <c r="A19" s="5" t="s">
        <v>162</v>
      </c>
      <c r="B19" s="5" t="s">
        <v>163</v>
      </c>
      <c r="C19" s="47">
        <v>110</v>
      </c>
    </row>
    <row r="20" spans="1:4" ht="12.75">
      <c r="A20" s="5" t="s">
        <v>167</v>
      </c>
      <c r="B20" s="5" t="s">
        <v>168</v>
      </c>
      <c r="D20" s="47">
        <v>8699.93</v>
      </c>
    </row>
    <row r="21" spans="1:3" ht="12.75">
      <c r="A21" s="5" t="s">
        <v>162</v>
      </c>
      <c r="B21" s="5" t="s">
        <v>166</v>
      </c>
      <c r="C21" s="47">
        <v>3596.55</v>
      </c>
    </row>
    <row r="22" spans="1:3" ht="12.75">
      <c r="A22" s="5" t="s">
        <v>162</v>
      </c>
      <c r="B22" s="5" t="s">
        <v>169</v>
      </c>
      <c r="C22" s="47">
        <v>1449.99</v>
      </c>
    </row>
    <row r="24" spans="3:4" ht="13.5" thickBot="1">
      <c r="C24" s="47">
        <f>SUM(C5:C22)</f>
        <v>27378.100000000002</v>
      </c>
      <c r="D24" s="47">
        <f>SUM(D6:D22)</f>
        <v>30279.24</v>
      </c>
    </row>
    <row r="25" spans="2:5" ht="13.5" thickBot="1">
      <c r="B25" s="5" t="s">
        <v>151</v>
      </c>
      <c r="E25" s="54">
        <f>D24-C24</f>
        <v>2901.1399999999994</v>
      </c>
    </row>
    <row r="26" spans="2:5" ht="12.75">
      <c r="B26" s="5" t="s">
        <v>272</v>
      </c>
      <c r="E26" s="47">
        <v>3000</v>
      </c>
    </row>
    <row r="27" spans="2:5" ht="12.75">
      <c r="B27" s="5"/>
      <c r="E27" s="148"/>
    </row>
    <row r="29" spans="2:5" ht="12.75">
      <c r="B29" s="5" t="s">
        <v>273</v>
      </c>
      <c r="E29" s="47">
        <f>-(E26-E25)</f>
        <v>-98.86000000000058</v>
      </c>
    </row>
    <row r="30" spans="2:5" ht="12.75">
      <c r="B30" s="5" t="s">
        <v>274</v>
      </c>
      <c r="E30" s="47">
        <v>600</v>
      </c>
    </row>
    <row r="31" spans="2:5" ht="12.75">
      <c r="B31" s="5" t="s">
        <v>275</v>
      </c>
      <c r="E31" s="47">
        <v>36</v>
      </c>
    </row>
    <row r="32" spans="2:5" ht="12.75">
      <c r="B32" s="5" t="s">
        <v>276</v>
      </c>
      <c r="E32" s="47">
        <v>173.68</v>
      </c>
    </row>
    <row r="33" spans="2:5" ht="13.5" thickBot="1">
      <c r="B33" s="5" t="s">
        <v>277</v>
      </c>
      <c r="E33" s="47">
        <v>2250</v>
      </c>
    </row>
    <row r="34" ht="13.5" thickBot="1">
      <c r="E34" s="147">
        <f>SUM(E29:E33)</f>
        <v>2960.8199999999997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Joe</cp:lastModifiedBy>
  <cp:lastPrinted>2019-05-22T08:16:24Z</cp:lastPrinted>
  <dcterms:created xsi:type="dcterms:W3CDTF">2013-05-28T20:05:53Z</dcterms:created>
  <dcterms:modified xsi:type="dcterms:W3CDTF">2019-06-06T22:05:40Z</dcterms:modified>
  <cp:category/>
  <cp:version/>
  <cp:contentType/>
  <cp:contentStatus/>
</cp:coreProperties>
</file>